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15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state="hidden" r:id="rId10"/>
    <sheet name="ENTREGA S-HCP" sheetId="14" state="hidden" r:id="rId11"/>
    <sheet name="RESUMEN DE JUGADORES" sheetId="16" r:id="rId12"/>
  </sheets>
  <calcPr calcId="125725"/>
</workbook>
</file>

<file path=xl/calcChain.xml><?xml version="1.0" encoding="utf-8"?>
<calcChain xmlns="http://schemas.openxmlformats.org/spreadsheetml/2006/main">
  <c r="D37" i="7"/>
  <c r="D36"/>
  <c r="C70" i="12"/>
  <c r="F16" i="16"/>
  <c r="G17" i="15"/>
  <c r="H17" s="1"/>
  <c r="J17" s="1"/>
  <c r="H33" i="5"/>
  <c r="J33" s="1"/>
  <c r="G32"/>
  <c r="H32" s="1"/>
  <c r="J32" s="1"/>
  <c r="G14"/>
  <c r="H14" s="1"/>
  <c r="J14" s="1"/>
  <c r="J14" i="4"/>
  <c r="H13"/>
  <c r="J13" s="1"/>
  <c r="G11" i="1"/>
  <c r="H11" s="1"/>
  <c r="D111" i="14"/>
  <c r="B111"/>
  <c r="A111"/>
  <c r="D110"/>
  <c r="B110"/>
  <c r="A110"/>
  <c r="D109"/>
  <c r="B109"/>
  <c r="A109"/>
  <c r="D108"/>
  <c r="B108"/>
  <c r="A108"/>
  <c r="D107"/>
  <c r="B107"/>
  <c r="A107"/>
  <c r="D106"/>
  <c r="B106"/>
  <c r="A106"/>
  <c r="D105"/>
  <c r="B105"/>
  <c r="A105"/>
  <c r="D104"/>
  <c r="B104"/>
  <c r="A104"/>
  <c r="J11" i="1" l="1"/>
  <c r="B16" i="16"/>
  <c r="D14" i="13"/>
  <c r="C14"/>
  <c r="B14"/>
  <c r="A14"/>
  <c r="D37" i="10"/>
  <c r="F24" i="1"/>
  <c r="E24"/>
  <c r="F24" i="5" l="1"/>
  <c r="E24"/>
  <c r="G24" s="1"/>
  <c r="H24" s="1"/>
  <c r="J24" s="1"/>
  <c r="G22"/>
  <c r="H22" s="1"/>
  <c r="J22" s="1"/>
  <c r="F23"/>
  <c r="G23" s="1"/>
  <c r="H23" s="1"/>
  <c r="J23" s="1"/>
  <c r="E23"/>
  <c r="F20"/>
  <c r="G20" s="1"/>
  <c r="H20" s="1"/>
  <c r="J20" s="1"/>
  <c r="E20"/>
  <c r="H21"/>
  <c r="J21" s="1"/>
  <c r="G21"/>
  <c r="F19"/>
  <c r="E19"/>
  <c r="F16"/>
  <c r="E16"/>
  <c r="G18"/>
  <c r="H18" s="1"/>
  <c r="J18" s="1"/>
  <c r="G17"/>
  <c r="H17" s="1"/>
  <c r="J17" s="1"/>
  <c r="F15"/>
  <c r="E15"/>
  <c r="F12"/>
  <c r="E12"/>
  <c r="F13"/>
  <c r="E13"/>
  <c r="F11"/>
  <c r="E11"/>
  <c r="F13" i="1"/>
  <c r="E13"/>
  <c r="F14"/>
  <c r="E14"/>
  <c r="F12"/>
  <c r="E12"/>
  <c r="D16" i="6"/>
  <c r="D19"/>
  <c r="D17"/>
  <c r="D26" i="9"/>
  <c r="F21" i="15"/>
  <c r="E21"/>
  <c r="F18"/>
  <c r="E18"/>
  <c r="F16" i="4"/>
  <c r="E16"/>
  <c r="C33" i="12"/>
  <c r="C64"/>
  <c r="C67"/>
  <c r="D20" i="6"/>
  <c r="D18"/>
  <c r="D13"/>
  <c r="D14" i="7"/>
  <c r="D13"/>
  <c r="D46" i="9"/>
  <c r="D37"/>
  <c r="D21"/>
  <c r="D19" i="10"/>
  <c r="D13"/>
  <c r="F39" i="5"/>
  <c r="E39"/>
  <c r="F36"/>
  <c r="E36"/>
  <c r="F26" i="1"/>
  <c r="E26"/>
  <c r="F14" i="13" l="1"/>
  <c r="G13" i="5"/>
  <c r="H13" s="1"/>
  <c r="J13" s="1"/>
  <c r="G15"/>
  <c r="H15" s="1"/>
  <c r="J15" s="1"/>
  <c r="G11"/>
  <c r="H11" s="1"/>
  <c r="J11" s="1"/>
  <c r="G12"/>
  <c r="H12" s="1"/>
  <c r="J12" s="1"/>
  <c r="G13" i="1"/>
  <c r="E14" i="13"/>
  <c r="G12" i="1"/>
  <c r="H12" s="1"/>
  <c r="G14"/>
  <c r="H14" s="1"/>
  <c r="G16" i="5"/>
  <c r="H16" s="1"/>
  <c r="J16" s="1"/>
  <c r="G19"/>
  <c r="H19" s="1"/>
  <c r="J19" s="1"/>
  <c r="D14" i="6"/>
  <c r="D10"/>
  <c r="D38" i="9"/>
  <c r="D15"/>
  <c r="D39" i="10"/>
  <c r="D36"/>
  <c r="D25"/>
  <c r="F14" i="15"/>
  <c r="E14"/>
  <c r="F19"/>
  <c r="E19"/>
  <c r="F27" i="1"/>
  <c r="E27"/>
  <c r="J14" l="1"/>
  <c r="H13"/>
  <c r="J12" s="1"/>
  <c r="G14" i="13"/>
  <c r="H14" s="1"/>
  <c r="F16" i="15"/>
  <c r="E16"/>
  <c r="F13"/>
  <c r="E13"/>
  <c r="F12"/>
  <c r="E12"/>
  <c r="F11"/>
  <c r="E11"/>
  <c r="J13" i="1" l="1"/>
  <c r="C63" i="12"/>
  <c r="C32"/>
  <c r="C12"/>
  <c r="D17" i="7"/>
  <c r="D12"/>
  <c r="D21"/>
  <c r="D20"/>
  <c r="D44" i="9"/>
  <c r="D43"/>
  <c r="D40"/>
  <c r="D11"/>
  <c r="D20"/>
  <c r="D10"/>
  <c r="D19"/>
  <c r="D25"/>
  <c r="D35" i="10"/>
  <c r="D40"/>
  <c r="D38"/>
  <c r="D16"/>
  <c r="D18"/>
  <c r="D20"/>
  <c r="D27"/>
  <c r="D24"/>
  <c r="F38" i="5"/>
  <c r="E38"/>
  <c r="F37"/>
  <c r="E37"/>
  <c r="F15" i="4"/>
  <c r="E15"/>
  <c r="F28" i="1"/>
  <c r="E28"/>
  <c r="F25"/>
  <c r="E25"/>
  <c r="C40" i="12" l="1"/>
  <c r="C48"/>
  <c r="C39"/>
  <c r="C11"/>
  <c r="C57"/>
  <c r="C16"/>
  <c r="C47"/>
  <c r="C31"/>
  <c r="D12" i="6"/>
  <c r="D15" i="7"/>
  <c r="D10"/>
  <c r="D22" i="9"/>
  <c r="D18"/>
  <c r="D22" i="10"/>
  <c r="D14"/>
  <c r="D103" i="14" l="1"/>
  <c r="B103"/>
  <c r="A103"/>
  <c r="D102"/>
  <c r="B102"/>
  <c r="A102"/>
  <c r="D101"/>
  <c r="B101"/>
  <c r="A101"/>
  <c r="D100"/>
  <c r="B100"/>
  <c r="A100"/>
  <c r="D99"/>
  <c r="B99"/>
  <c r="A99"/>
  <c r="D98"/>
  <c r="B98"/>
  <c r="A98"/>
  <c r="D97"/>
  <c r="B97"/>
  <c r="A97"/>
  <c r="D96"/>
  <c r="B96"/>
  <c r="A96"/>
  <c r="D95"/>
  <c r="B95"/>
  <c r="A95"/>
  <c r="D94"/>
  <c r="B94"/>
  <c r="A94"/>
  <c r="D93"/>
  <c r="B93"/>
  <c r="A93"/>
  <c r="D92"/>
  <c r="B92"/>
  <c r="A92"/>
  <c r="D91"/>
  <c r="B91"/>
  <c r="A91"/>
  <c r="D90"/>
  <c r="B90"/>
  <c r="A90"/>
  <c r="D89"/>
  <c r="B89"/>
  <c r="A89"/>
  <c r="D88"/>
  <c r="B88"/>
  <c r="A88"/>
  <c r="D87"/>
  <c r="B87"/>
  <c r="A87"/>
  <c r="D86"/>
  <c r="B86"/>
  <c r="A86"/>
  <c r="D85"/>
  <c r="B85"/>
  <c r="A85"/>
  <c r="D84"/>
  <c r="B84"/>
  <c r="A84"/>
  <c r="D83"/>
  <c r="B83"/>
  <c r="A83"/>
  <c r="D82"/>
  <c r="B82"/>
  <c r="A82"/>
  <c r="D81"/>
  <c r="B81"/>
  <c r="A81"/>
  <c r="D80"/>
  <c r="B80"/>
  <c r="A80"/>
  <c r="D79"/>
  <c r="B79"/>
  <c r="A79"/>
  <c r="D78"/>
  <c r="B78"/>
  <c r="A78"/>
  <c r="D77"/>
  <c r="B77"/>
  <c r="A77"/>
  <c r="D76"/>
  <c r="B76"/>
  <c r="A76"/>
  <c r="D75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52"/>
  <c r="B52"/>
  <c r="A52"/>
  <c r="D51"/>
  <c r="B51"/>
  <c r="A51"/>
  <c r="D50"/>
  <c r="B50"/>
  <c r="A50"/>
  <c r="D49"/>
  <c r="B49"/>
  <c r="A49"/>
  <c r="D48"/>
  <c r="B48"/>
  <c r="A48"/>
  <c r="D47"/>
  <c r="B47"/>
  <c r="A47"/>
  <c r="F30" i="13"/>
  <c r="E30"/>
  <c r="D30"/>
  <c r="C30"/>
  <c r="B30"/>
  <c r="A30"/>
  <c r="F29"/>
  <c r="E29"/>
  <c r="D29"/>
  <c r="C29"/>
  <c r="B29"/>
  <c r="A29"/>
  <c r="A27"/>
  <c r="G21" i="15" l="1"/>
  <c r="H21" s="1"/>
  <c r="J21" s="1"/>
  <c r="G18"/>
  <c r="H18" s="1"/>
  <c r="J18" s="1"/>
  <c r="G20"/>
  <c r="H20" s="1"/>
  <c r="J20" s="1"/>
  <c r="G15"/>
  <c r="H15" s="1"/>
  <c r="J15" s="1"/>
  <c r="G14"/>
  <c r="H14" s="1"/>
  <c r="J14" s="1"/>
  <c r="G19"/>
  <c r="H19" s="1"/>
  <c r="J19" s="1"/>
  <c r="G16"/>
  <c r="H16" s="1"/>
  <c r="J16" s="1"/>
  <c r="G13"/>
  <c r="H13" s="1"/>
  <c r="J13" s="1"/>
  <c r="G12"/>
  <c r="G11"/>
  <c r="G29" i="13" s="1"/>
  <c r="A8" i="15"/>
  <c r="A6"/>
  <c r="A5"/>
  <c r="A2"/>
  <c r="A1"/>
  <c r="F22" i="13"/>
  <c r="E22"/>
  <c r="D22"/>
  <c r="C22"/>
  <c r="B22"/>
  <c r="A22"/>
  <c r="F18"/>
  <c r="E18"/>
  <c r="D18"/>
  <c r="C18"/>
  <c r="B18"/>
  <c r="A18"/>
  <c r="F10"/>
  <c r="E10"/>
  <c r="D10"/>
  <c r="C10"/>
  <c r="B10"/>
  <c r="A10"/>
  <c r="F9"/>
  <c r="E9"/>
  <c r="D9"/>
  <c r="C9"/>
  <c r="B9"/>
  <c r="A9"/>
  <c r="A28" i="5"/>
  <c r="A8"/>
  <c r="A8" i="4"/>
  <c r="H12" i="15" l="1"/>
  <c r="G30" i="13"/>
  <c r="H11" i="15"/>
  <c r="G9" i="13"/>
  <c r="H9" s="1"/>
  <c r="G10"/>
  <c r="H10" s="1"/>
  <c r="H29" l="1"/>
  <c r="J11" i="15"/>
  <c r="H30" i="13"/>
  <c r="J12" i="15"/>
  <c r="G38" i="5"/>
  <c r="H38" s="1"/>
  <c r="J38" s="1"/>
  <c r="G34"/>
  <c r="H34" s="1"/>
  <c r="J34" s="1"/>
  <c r="G39"/>
  <c r="H39" s="1"/>
  <c r="J39" s="1"/>
  <c r="G15" i="4"/>
  <c r="G16"/>
  <c r="H16" s="1"/>
  <c r="J16" s="1"/>
  <c r="G12"/>
  <c r="H12" s="1"/>
  <c r="J12" s="1"/>
  <c r="G11"/>
  <c r="G25" i="1"/>
  <c r="H25" s="1"/>
  <c r="J25" s="1"/>
  <c r="G24"/>
  <c r="H24" s="1"/>
  <c r="J24" s="1"/>
  <c r="G28"/>
  <c r="H28" s="1"/>
  <c r="J28" s="1"/>
  <c r="G22" i="13" l="1"/>
  <c r="H22" s="1"/>
  <c r="H11" i="4"/>
  <c r="J11" s="1"/>
  <c r="H15"/>
  <c r="J15" s="1"/>
  <c r="G18" i="13"/>
  <c r="H18" s="1"/>
  <c r="G31" i="5"/>
  <c r="H31" s="1"/>
  <c r="J31" s="1"/>
  <c r="A5" i="13" l="1"/>
  <c r="D46" i="14" l="1"/>
  <c r="B46"/>
  <c r="A46"/>
  <c r="A5" i="5" l="1"/>
  <c r="A5" i="4"/>
  <c r="G37" i="5" l="1"/>
  <c r="H37" s="1"/>
  <c r="J37" s="1"/>
  <c r="G35"/>
  <c r="G36"/>
  <c r="H36" s="1"/>
  <c r="J36" s="1"/>
  <c r="G26" i="1"/>
  <c r="H26" s="1"/>
  <c r="J26" s="1"/>
  <c r="G27"/>
  <c r="H27" s="1"/>
  <c r="J27" s="1"/>
  <c r="H35" i="5" l="1"/>
  <c r="J35" s="1"/>
  <c r="A41" i="14"/>
  <c r="B41"/>
  <c r="C41"/>
  <c r="D41"/>
  <c r="D16" l="1"/>
  <c r="C16"/>
  <c r="B16"/>
  <c r="A16"/>
  <c r="F26" i="13" l="1"/>
  <c r="E26"/>
  <c r="D26"/>
  <c r="C26"/>
  <c r="B26"/>
  <c r="A26"/>
  <c r="F25"/>
  <c r="E25"/>
  <c r="D25"/>
  <c r="C25"/>
  <c r="B25"/>
  <c r="A25"/>
  <c r="A23"/>
  <c r="H25" l="1"/>
  <c r="H26"/>
  <c r="G26"/>
  <c r="G25"/>
  <c r="D40" i="14" l="1"/>
  <c r="C40"/>
  <c r="B40"/>
  <c r="A40"/>
  <c r="A38"/>
  <c r="D36" l="1"/>
  <c r="C36"/>
  <c r="B36"/>
  <c r="A36"/>
  <c r="D35"/>
  <c r="C35"/>
  <c r="B35"/>
  <c r="A35"/>
  <c r="A33"/>
  <c r="D45" l="1"/>
  <c r="B45"/>
  <c r="A45"/>
  <c r="D31"/>
  <c r="C31"/>
  <c r="B31"/>
  <c r="A31"/>
  <c r="D30"/>
  <c r="C30"/>
  <c r="B30"/>
  <c r="A30"/>
  <c r="A28"/>
  <c r="D26"/>
  <c r="C26"/>
  <c r="B26"/>
  <c r="A26"/>
  <c r="D25"/>
  <c r="C25"/>
  <c r="B25"/>
  <c r="A25"/>
  <c r="A23"/>
  <c r="D21"/>
  <c r="C21"/>
  <c r="B21"/>
  <c r="A21"/>
  <c r="D20"/>
  <c r="C20"/>
  <c r="B20"/>
  <c r="A20"/>
  <c r="A18"/>
  <c r="D15"/>
  <c r="C15"/>
  <c r="B15"/>
  <c r="A15"/>
  <c r="A13"/>
  <c r="D11"/>
  <c r="C11"/>
  <c r="B11"/>
  <c r="A11"/>
  <c r="D10"/>
  <c r="C10"/>
  <c r="B10"/>
  <c r="A10"/>
  <c r="A8"/>
  <c r="A6"/>
  <c r="A3"/>
  <c r="A2"/>
  <c r="A1"/>
  <c r="A19" i="13" l="1"/>
  <c r="A1"/>
  <c r="A2"/>
  <c r="A6"/>
  <c r="A11"/>
  <c r="A13"/>
  <c r="B13"/>
  <c r="C13"/>
  <c r="D13"/>
  <c r="E13"/>
  <c r="F13"/>
  <c r="A15"/>
  <c r="A17"/>
  <c r="B17"/>
  <c r="C17"/>
  <c r="D17"/>
  <c r="E17"/>
  <c r="F17"/>
  <c r="A21"/>
  <c r="B21"/>
  <c r="C21"/>
  <c r="D21"/>
  <c r="E21"/>
  <c r="F21"/>
  <c r="A1" i="12"/>
  <c r="A2"/>
  <c r="A6"/>
  <c r="A1" i="6"/>
  <c r="A2"/>
  <c r="A6"/>
  <c r="A1" i="7"/>
  <c r="A2"/>
  <c r="A6"/>
  <c r="A1" i="9"/>
  <c r="A2"/>
  <c r="A6"/>
  <c r="A1" i="10"/>
  <c r="A2"/>
  <c r="A6"/>
  <c r="A1" i="5"/>
  <c r="A2"/>
  <c r="A6"/>
  <c r="A1" i="4"/>
  <c r="A2"/>
  <c r="A6"/>
  <c r="G21" i="13" l="1"/>
  <c r="H21" s="1"/>
  <c r="G17"/>
  <c r="H17" s="1"/>
  <c r="G13"/>
  <c r="H13" s="1"/>
</calcChain>
</file>

<file path=xl/sharedStrings.xml><?xml version="1.0" encoding="utf-8"?>
<sst xmlns="http://schemas.openxmlformats.org/spreadsheetml/2006/main" count="1082" uniqueCount="319">
  <si>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</si>
  <si>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</si>
  <si>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</si>
  <si>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</si>
  <si>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</si>
  <si>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</si>
  <si>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</si>
  <si>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</si>
  <si>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</si>
  <si>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</si>
  <si>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</si>
  <si>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</si>
  <si>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</si>
  <si>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</si>
  <si>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</si>
  <si>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NETO</t>
  </si>
  <si>
    <t>2° NETO</t>
  </si>
  <si>
    <t>5 HOYOS MEDAL PLAY</t>
  </si>
  <si>
    <t>1°</t>
  </si>
  <si>
    <t>F.N.</t>
  </si>
  <si>
    <t>2°</t>
  </si>
  <si>
    <t>CATEGORIA PROMOCIONALES A HCP.</t>
  </si>
  <si>
    <t>Tot.</t>
  </si>
  <si>
    <t>DOS VUELTAS DE 9 HOYOS MEDAL PLAY</t>
  </si>
  <si>
    <t>CABALLEROS JUVENILES (Clases 95- 96- 97- 98 - 99 - 00 y 01)</t>
  </si>
  <si>
    <t>CABALLEROS MENORES (Clases 02 - 03 y 04)</t>
  </si>
  <si>
    <t>DAMAS MENORES DE 15 AÑOS (Clases 05 y Posteriores)</t>
  </si>
  <si>
    <t>BOCHAS ROJAS</t>
  </si>
  <si>
    <t>ALBATROS - CABALLEROS CLASES 07 - 08 -</t>
  </si>
  <si>
    <t>ALBATROS - DAMAS CLASES 07 - 08 -</t>
  </si>
  <si>
    <t>EAGLES - CABALLEROS CLASES 09 - 10 -</t>
  </si>
  <si>
    <t>EAGLES - DAMAS CLASES 09 - 10 -</t>
  </si>
  <si>
    <t>BIRDIES - CABALLEROS CLASES 11 Y POSTERIORES -</t>
  </si>
  <si>
    <t>BIRDIES - DAMAS CLASES 11 Y POSTERIORES -</t>
  </si>
  <si>
    <t>BOCHAS BLANCAS</t>
  </si>
  <si>
    <t>DAMAS JUVENILES Y MENORES DE 18 AÑOS</t>
  </si>
  <si>
    <t>3° NETO</t>
  </si>
  <si>
    <t>SAFE FRANCO</t>
  </si>
  <si>
    <t>CSCPGB</t>
  </si>
  <si>
    <t>CASTRO SANTINO</t>
  </si>
  <si>
    <t>ML</t>
  </si>
  <si>
    <t>CICCOLA FRANCESCO</t>
  </si>
  <si>
    <t>2° TORNEO VIRTUAL</t>
  </si>
  <si>
    <t>CLUBES DE LA FEDERACION</t>
  </si>
  <si>
    <t>10  AL 13 DE OCTUBRE DE 2020</t>
  </si>
  <si>
    <t>CABALLEROS MENORES DE 15 AÑOS (Clases 05 y 06)</t>
  </si>
  <si>
    <t>CABALLEROS MENORES DE 13 AÑOS (Clases 07 y Posteriores)</t>
  </si>
  <si>
    <t>DAMAS JUVENILES Y MENORES</t>
  </si>
  <si>
    <t>TGC</t>
  </si>
  <si>
    <t>FERNANDEZ FRANCISCO</t>
  </si>
  <si>
    <t>EVTGC</t>
  </si>
  <si>
    <t>MICHELI TOMAS</t>
  </si>
  <si>
    <t>SALVI BENICIO</t>
  </si>
  <si>
    <t>JARQUE TOMAS</t>
  </si>
  <si>
    <t>ROVARINO SANTINO</t>
  </si>
  <si>
    <t>JARQUE FELIPE</t>
  </si>
  <si>
    <t>DURINGER BENJAMIN</t>
  </si>
  <si>
    <t>CRUZ COSME</t>
  </si>
  <si>
    <t>SALVI SANTINO</t>
  </si>
  <si>
    <t>ZUBIAURRE BENJAMIN</t>
  </si>
  <si>
    <t>VIALI NEWEN</t>
  </si>
  <si>
    <t>DE LA TORRE  BENJAMIN</t>
  </si>
  <si>
    <t>VIALI MARTIN</t>
  </si>
  <si>
    <t>CRUZ AGUSTO</t>
  </si>
  <si>
    <t>PARDO LORENZO</t>
  </si>
  <si>
    <t>GERINO RENATO</t>
  </si>
  <si>
    <t>FARHA JULIAN</t>
  </si>
  <si>
    <t>MURILLO JOAQUIN</t>
  </si>
  <si>
    <t>SANTOYANNI JOQUIN</t>
  </si>
  <si>
    <t>MAOURELOS IGNACIO</t>
  </si>
  <si>
    <t>FARHA ALBERTINA</t>
  </si>
  <si>
    <t>SALANUEVA JULIANA</t>
  </si>
  <si>
    <t>JARQUE VIOLETA</t>
  </si>
  <si>
    <t>LAFRAGUETTE RAMIRO</t>
  </si>
  <si>
    <t>BILBAO FRANCISCO</t>
  </si>
  <si>
    <t>ERRECART GIMENA</t>
  </si>
  <si>
    <t>SUAREZ MILAGROS</t>
  </si>
  <si>
    <t>ZHAO JOSE</t>
  </si>
  <si>
    <t>BERENGENO SANTINO</t>
  </si>
  <si>
    <t>PAMPALONI MATEO</t>
  </si>
  <si>
    <t>RAMPOLDI SARA</t>
  </si>
  <si>
    <t>MARTIN IARA</t>
  </si>
  <si>
    <t>ALLENDE FEDERICO</t>
  </si>
  <si>
    <t>MARCO BENJAMIN</t>
  </si>
  <si>
    <t>TOCAGNI JUAN MARTIN</t>
  </si>
  <si>
    <t>TEPER CASARES JEREMIAS</t>
  </si>
  <si>
    <t>OGUETA BAUTISTA</t>
  </si>
  <si>
    <t>LANCELLOTTI VALENTINO</t>
  </si>
  <si>
    <t>DEL RIO DAVID</t>
  </si>
  <si>
    <t>POLETTI FAUSTO</t>
  </si>
  <si>
    <t>ACHEN ALDANA</t>
  </si>
  <si>
    <t>CASANOVA FATIMA</t>
  </si>
  <si>
    <t>RANGO ISABELLA</t>
  </si>
  <si>
    <t>ROCCO LORENZO</t>
  </si>
  <si>
    <t>MARTIN IGNACIO</t>
  </si>
  <si>
    <t>PORTIS SANTIAGO</t>
  </si>
  <si>
    <t>GORLA TOBIAS</t>
  </si>
  <si>
    <t>GALOPPO SANTINO</t>
  </si>
  <si>
    <t>RODRIGUEZ MACIAS ISABELLA</t>
  </si>
  <si>
    <t>MEILAN LOURDES</t>
  </si>
  <si>
    <t>MEDINILLA PILAR</t>
  </si>
  <si>
    <t>BELTRAMI LOPEZ PEDRO</t>
  </si>
  <si>
    <t>VERRI MATEO</t>
  </si>
  <si>
    <t>CACACE BLAS</t>
  </si>
  <si>
    <t>PASSARELLI BENICIO</t>
  </si>
  <si>
    <t>MARTIN MILENA</t>
  </si>
  <si>
    <t>RODRIGUEZ MACIAS HILARIO</t>
  </si>
  <si>
    <t>MEDINILLA MANUEL</t>
  </si>
  <si>
    <t>POMPONIO VALENTINO</t>
  </si>
  <si>
    <t>SASIA CAMILA</t>
  </si>
  <si>
    <t>NASSR TOMAS</t>
  </si>
  <si>
    <t>AYESA SOFIA</t>
  </si>
  <si>
    <t>MDPGC</t>
  </si>
  <si>
    <t>LUCA MURCIA</t>
  </si>
  <si>
    <t>SIMON CAMAÑO</t>
  </si>
  <si>
    <t>BENICIO VINART</t>
  </si>
  <si>
    <t>SANTINO VINART</t>
  </si>
  <si>
    <t>MILO VINART</t>
  </si>
  <si>
    <t>CERONO ENZO</t>
  </si>
  <si>
    <t>SPGC</t>
  </si>
  <si>
    <t>OLIVERI CATERINA</t>
  </si>
  <si>
    <t>LUCHETTA VALENTIN</t>
  </si>
  <si>
    <t>BERCHOT TOMAS</t>
  </si>
  <si>
    <t>MOIONI DANTE</t>
  </si>
  <si>
    <t>LEOFANTI DANTE</t>
  </si>
  <si>
    <t>TOBLER SANTIAGO</t>
  </si>
  <si>
    <t>PATTI NICOLAS</t>
  </si>
  <si>
    <t>OLIVERI ANGELINA</t>
  </si>
  <si>
    <t>POLITA NUÑEZ MAITE</t>
  </si>
  <si>
    <t>TOBLER GONZALO</t>
  </si>
  <si>
    <t>LEOFANTI RENZO</t>
  </si>
  <si>
    <t>REYNOSA JOAQUIN</t>
  </si>
  <si>
    <t>DEPREZ UMMA</t>
  </si>
  <si>
    <t>MOIONI MAGDALENA</t>
  </si>
  <si>
    <t>ROLDAN FELIPE</t>
  </si>
  <si>
    <t>PATTI VICENTE</t>
  </si>
  <si>
    <t>LEOFANTI BIANCA</t>
  </si>
  <si>
    <t>POLITA NUÑEZ LUCIA</t>
  </si>
  <si>
    <t>BIONDELLI ALEGRA</t>
  </si>
  <si>
    <t>SALANITRO TOMAS</t>
  </si>
  <si>
    <t>GOÑI MATEO</t>
  </si>
  <si>
    <t>GARCIA FELIPE</t>
  </si>
  <si>
    <t>STIER RENATA</t>
  </si>
  <si>
    <t>ECHEGOYEN CIRILO</t>
  </si>
  <si>
    <t>ECHEGOYEN JAIME</t>
  </si>
  <si>
    <t>MORUA CARIAC SANTIAGO</t>
  </si>
  <si>
    <t>CMDP</t>
  </si>
  <si>
    <t>PEREZ SANTANDREA FERMIN</t>
  </si>
  <si>
    <t>LARREGAIN GABRIEL</t>
  </si>
  <si>
    <t>MORDENTTI IGNACIA</t>
  </si>
  <si>
    <t>ARANO ROCIO</t>
  </si>
  <si>
    <t>PRIOLETTO ALMA</t>
  </si>
  <si>
    <t>LANDI SANTIAGO</t>
  </si>
  <si>
    <t>JENKINS STEVE</t>
  </si>
  <si>
    <t>SULPIS SEGUNDO</t>
  </si>
  <si>
    <t>PEDERSEN IGNACIO</t>
  </si>
  <si>
    <t>MORELLO FELIPE</t>
  </si>
  <si>
    <t>PICABEA JULIAN</t>
  </si>
  <si>
    <t>MUGURUZA SOL</t>
  </si>
  <si>
    <t>CARACOTCHE JUANA</t>
  </si>
  <si>
    <t>PROBICITO IGNACIO</t>
  </si>
  <si>
    <t>JUAREZ FRANCISCO</t>
  </si>
  <si>
    <t>MONTES JOAQUIN</t>
  </si>
  <si>
    <t>LANDI AGUSTIN</t>
  </si>
  <si>
    <t>JENKINS UMA</t>
  </si>
  <si>
    <t>DATOLA DANTE</t>
  </si>
  <si>
    <t>BENEITO BENJAMIN</t>
  </si>
  <si>
    <t>ECHEVERRIA ALEJO</t>
  </si>
  <si>
    <t>DATOLA SANTINO</t>
  </si>
  <si>
    <t>ARMANI SANTIAGO</t>
  </si>
  <si>
    <t>LI PUMA IGNACIO</t>
  </si>
  <si>
    <t>CARACOTCHE CARMELA</t>
  </si>
  <si>
    <t>CEJAS SANTIAGO</t>
  </si>
  <si>
    <t>JUAREZ BENJAMIN</t>
  </si>
  <si>
    <t>ALEMAN BENJAMIN</t>
  </si>
  <si>
    <t>HOPE CRISTOBAL</t>
  </si>
  <si>
    <t>PICABEA IGNACIO</t>
  </si>
  <si>
    <t>HELLMUND CAMILO</t>
  </si>
  <si>
    <t>ALFAYA SIMON</t>
  </si>
  <si>
    <t>ABETTE GASPAR</t>
  </si>
  <si>
    <t>BERROETA SEGUNDO</t>
  </si>
  <si>
    <t>ABETTE DANTE</t>
  </si>
  <si>
    <t>PICABEA FERMIN</t>
  </si>
  <si>
    <t>CERESETO ALVARO</t>
  </si>
  <si>
    <t>PROBICITO LOLA</t>
  </si>
  <si>
    <t>GAVIÑA FELIX</t>
  </si>
  <si>
    <t>VENACIO ANGELES</t>
  </si>
  <si>
    <t>MUNAR FELIX</t>
  </si>
  <si>
    <t>TRUEBA BENJAMIN</t>
  </si>
  <si>
    <t>ESPINOLA JULIA</t>
  </si>
  <si>
    <t>DE ZUBIZARRETA MATEO</t>
  </si>
  <si>
    <t>LERGA LIBORIO</t>
  </si>
  <si>
    <t>PARDINI FRANCO</t>
  </si>
  <si>
    <t>FELICE JUAN</t>
  </si>
  <si>
    <t>TRUEBA PEDRO</t>
  </si>
  <si>
    <t>MONTES VALENTIN</t>
  </si>
  <si>
    <t>LAZAR OMERO</t>
  </si>
  <si>
    <t>QUIROGA FRANCO</t>
  </si>
  <si>
    <t>ECHAIDE EUGENIA</t>
  </si>
  <si>
    <t>ECHAIDE JOAQUIN</t>
  </si>
  <si>
    <t>LPSA</t>
  </si>
  <si>
    <t>DARDANELLO ARON</t>
  </si>
  <si>
    <t>STGC</t>
  </si>
  <si>
    <t>MORALES CRISTAL</t>
  </si>
  <si>
    <t>JAUNARENA FACUNDO</t>
  </si>
  <si>
    <t>SCOTTI ANNA</t>
  </si>
  <si>
    <t>DECESARE DANTE</t>
  </si>
  <si>
    <t>CEJAS FEDERICO</t>
  </si>
  <si>
    <t>CEJAS AGOSTINA</t>
  </si>
  <si>
    <t>CASTRO LOLA</t>
  </si>
  <si>
    <t>MUNGIELLO ANA LUZ</t>
  </si>
  <si>
    <t>MASSON LUCIA</t>
  </si>
  <si>
    <t>GADEA BENJAMIN</t>
  </si>
  <si>
    <t>PEREZ IMANOL</t>
  </si>
  <si>
    <t>PEREZ AMBAR</t>
  </si>
  <si>
    <t>VIRAG MATTIA</t>
  </si>
  <si>
    <t>BALMACEDA SANTIAGO</t>
  </si>
  <si>
    <t>SOCOLOBSKY FEDERICO</t>
  </si>
  <si>
    <t>COPPOLA FRANCO</t>
  </si>
  <si>
    <t>CLADAKIS JUAN</t>
  </si>
  <si>
    <t>CAÑETE MIA</t>
  </si>
  <si>
    <t>ACOSTA TOBIAS</t>
  </si>
  <si>
    <t>VIRAG LUCA</t>
  </si>
  <si>
    <t>MARTINEZ ISABELLA</t>
  </si>
  <si>
    <t>FERRO AGUSTIN</t>
  </si>
  <si>
    <r>
      <t>LEON CAMPOS IARA</t>
    </r>
    <r>
      <rPr>
        <sz val="10"/>
        <color indexed="17"/>
        <rFont val="Arial"/>
        <family val="2"/>
      </rPr>
      <t xml:space="preserve"> (Hizo 10 en un hoyo)</t>
    </r>
  </si>
  <si>
    <t>DAM JUV Y MEN</t>
  </si>
  <si>
    <t>CAB JUV</t>
  </si>
  <si>
    <t>CAB M 15</t>
  </si>
  <si>
    <t>DAM M 15</t>
  </si>
  <si>
    <t>CAB M 18</t>
  </si>
  <si>
    <t>CAB M 13</t>
  </si>
  <si>
    <t>DAM ALB</t>
  </si>
  <si>
    <t>DAM EAG</t>
  </si>
  <si>
    <t>DAM BIR</t>
  </si>
  <si>
    <t>CAB ALB</t>
  </si>
  <si>
    <t>CAB EAG</t>
  </si>
  <si>
    <t>CAB BIR</t>
  </si>
  <si>
    <t>PROM</t>
  </si>
  <si>
    <t>5 HOYOS</t>
  </si>
  <si>
    <t>CATEGORIA</t>
  </si>
  <si>
    <t>JUGDORES</t>
  </si>
  <si>
    <t xml:space="preserve">PAR </t>
  </si>
  <si>
    <t>CANCHA</t>
  </si>
  <si>
    <t>DIF.</t>
  </si>
  <si>
    <t>PAR</t>
  </si>
  <si>
    <t>RENDO GUADALUPE</t>
  </si>
  <si>
    <t>NGC</t>
  </si>
  <si>
    <t>CAMILO LATORRACA</t>
  </si>
  <si>
    <t>ESMERALDA CANELLI</t>
  </si>
  <si>
    <t>BAUTISTA FERRARO</t>
  </si>
  <si>
    <t>GUTIERREZ PEDRO</t>
  </si>
  <si>
    <t>ASTESANO FERMIN</t>
  </si>
  <si>
    <t>JUSTINO DE PIERRO</t>
  </si>
  <si>
    <t>FERNANDEZ ELISA</t>
  </si>
  <si>
    <t>BRISIGHELLI LUCA</t>
  </si>
  <si>
    <t>INDART AGUSTIN</t>
  </si>
  <si>
    <t>INDART IGNACIO</t>
  </si>
  <si>
    <t>MENNA CATALINA</t>
  </si>
  <si>
    <t>P</t>
  </si>
  <si>
    <t>T</t>
  </si>
  <si>
    <t>ORTALE FELIPE</t>
  </si>
  <si>
    <t>MORAN VALENTINA</t>
  </si>
  <si>
    <t>SERRES JOSEFINA</t>
  </si>
  <si>
    <t>GIMENEZ GONZALO</t>
  </si>
  <si>
    <t xml:space="preserve">1° </t>
  </si>
  <si>
    <t xml:space="preserve">2° </t>
  </si>
  <si>
    <t>VAZQUEZ BENICIO</t>
  </si>
  <si>
    <t>ULLUA BAUTISTA</t>
  </si>
  <si>
    <t>LARA ESTANISLAO</t>
  </si>
  <si>
    <t>FERNANDEZ ANTONIO</t>
  </si>
  <si>
    <t>DANIEL KATJA</t>
  </si>
  <si>
    <t>FERRERO MERCEDES</t>
  </si>
  <si>
    <t>LARA AGUSTINA</t>
  </si>
  <si>
    <t>FAIRBAIRN NICOLAS</t>
  </si>
  <si>
    <t>DI JULIO GIANFRANCO</t>
  </si>
  <si>
    <t>CARACOTCHE FACUNDO</t>
  </si>
  <si>
    <t>MORUA CARIAC MATEO</t>
  </si>
  <si>
    <t>ACUÑA TOBIAS</t>
  </si>
  <si>
    <t>DI IORIO GIAN LUCA</t>
  </si>
  <si>
    <t>LARREGAIN JUAN IGNACIO</t>
  </si>
  <si>
    <t>VIEIRA ANTONIO</t>
  </si>
  <si>
    <t>DABOS BENJAMIN</t>
  </si>
  <si>
    <t>PRIOLETTO SANTIAGO</t>
  </si>
  <si>
    <t>CERESETO AUGUSTO</t>
  </si>
  <si>
    <t>REPETTO JUAN CRUZ</t>
  </si>
  <si>
    <t>CARACOIX PEDRO</t>
  </si>
  <si>
    <t>MORDENTTI SANTIAGO</t>
  </si>
  <si>
    <t>CARACOIX FELIPE</t>
  </si>
  <si>
    <t>NPT</t>
  </si>
  <si>
    <t>MACIAS JACINTO</t>
  </si>
  <si>
    <t>SANTANA PEDRO</t>
  </si>
  <si>
    <t>RUGGERI ROCIO</t>
  </si>
  <si>
    <t>ROLON ESTANISLAO</t>
  </si>
  <si>
    <t>GODOY  FELIPE</t>
  </si>
  <si>
    <t>RUGGERI RENZO</t>
  </si>
  <si>
    <t>CAAMAÑO SIMON</t>
  </si>
  <si>
    <t>SANTOYANNI JOAQUIN</t>
  </si>
  <si>
    <t>MOURELOS IGNACIO</t>
  </si>
  <si>
    <t>FARAH ALBERTINA</t>
  </si>
  <si>
    <t>PORCEL ALFONSINA</t>
  </si>
  <si>
    <t>VINART BENICIO</t>
  </si>
  <si>
    <t>VINART SANTINO</t>
  </si>
  <si>
    <t>DO COBO MAXIMO</t>
  </si>
  <si>
    <t>PARASUCO AXEL</t>
  </si>
  <si>
    <t>VINART MIKO</t>
  </si>
  <si>
    <t>RAMPEZOTTI  JUSTINA</t>
  </si>
  <si>
    <t>PORCEL MARGARITA</t>
  </si>
  <si>
    <t>BERENGENO JOAQUINA</t>
  </si>
  <si>
    <t>PORCEL RENZO</t>
  </si>
  <si>
    <t>RIVAS BAUTISTA</t>
  </si>
  <si>
    <t>SANTANA AUGUSTO</t>
  </si>
  <si>
    <t>SANTANA MORA</t>
  </si>
  <si>
    <t>SORRIBAS DELFINA</t>
  </si>
  <si>
    <t>BUSTAMANTE OLIVIA</t>
  </si>
  <si>
    <t>BUSTAMANTE EMILIA</t>
  </si>
  <si>
    <t>OLIVENCIA IAN</t>
  </si>
  <si>
    <t>ONNELLI EUGENIA</t>
  </si>
  <si>
    <t>ONNELLI MARIA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</si>
</sst>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C0A]General"/>
  </numFmts>
  <fonts count="3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b/>
      <sz val="15"/>
      <color theme="0"/>
      <name val="Arial"/>
      <family val="2"/>
    </font>
    <font>
      <sz val="10"/>
      <color indexed="17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5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165" fontId="19" fillId="0" borderId="0"/>
    <xf numFmtId="165" fontId="2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8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/>
    <xf numFmtId="14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8" xfId="0" applyFont="1" applyFill="1" applyBorder="1" applyAlignment="1">
      <alignment horizontal="center"/>
    </xf>
    <xf numFmtId="164" fontId="1" fillId="0" borderId="26" xfId="0" applyNumberFormat="1" applyFont="1" applyFill="1" applyBorder="1" applyAlignment="1">
      <alignment horizontal="center"/>
    </xf>
    <xf numFmtId="0" fontId="1" fillId="0" borderId="25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0" fontId="1" fillId="0" borderId="15" xfId="0" applyFont="1" applyFill="1" applyBorder="1"/>
    <xf numFmtId="0" fontId="1" fillId="0" borderId="29" xfId="0" applyFont="1" applyFill="1" applyBorder="1" applyAlignment="1">
      <alignment horizontal="center"/>
    </xf>
    <xf numFmtId="164" fontId="13" fillId="0" borderId="29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30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center"/>
    </xf>
    <xf numFmtId="0" fontId="23" fillId="0" borderId="2" xfId="0" applyFont="1" applyBorder="1"/>
    <xf numFmtId="0" fontId="24" fillId="6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15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5" fillId="6" borderId="10" xfId="0" applyFont="1" applyFill="1" applyBorder="1"/>
    <xf numFmtId="0" fontId="7" fillId="0" borderId="34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26" fillId="9" borderId="36" xfId="0" applyFont="1" applyFill="1" applyBorder="1" applyAlignment="1">
      <alignment horizontal="center"/>
    </xf>
    <xf numFmtId="0" fontId="26" fillId="9" borderId="26" xfId="0" applyFont="1" applyFill="1" applyBorder="1" applyAlignment="1">
      <alignment horizontal="center"/>
    </xf>
    <xf numFmtId="0" fontId="26" fillId="10" borderId="36" xfId="0" applyFont="1" applyFill="1" applyBorder="1" applyAlignment="1">
      <alignment horizontal="center"/>
    </xf>
    <xf numFmtId="0" fontId="26" fillId="10" borderId="26" xfId="0" applyFont="1" applyFill="1" applyBorder="1" applyAlignment="1">
      <alignment horizontal="center"/>
    </xf>
    <xf numFmtId="0" fontId="3" fillId="10" borderId="37" xfId="0" applyFont="1" applyFill="1" applyBorder="1" applyAlignment="1">
      <alignment horizontal="center"/>
    </xf>
    <xf numFmtId="0" fontId="1" fillId="10" borderId="0" xfId="0" applyFont="1" applyFill="1"/>
    <xf numFmtId="0" fontId="3" fillId="10" borderId="38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6" fillId="0" borderId="39" xfId="0" applyFont="1" applyFill="1" applyBorder="1"/>
    <xf numFmtId="0" fontId="8" fillId="0" borderId="40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1" fillId="9" borderId="39" xfId="0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40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64" fontId="28" fillId="0" borderId="40" xfId="0" applyNumberFormat="1" applyFont="1" applyFill="1" applyBorder="1" applyAlignment="1">
      <alignment horizontal="center"/>
    </xf>
    <xf numFmtId="164" fontId="28" fillId="0" borderId="2" xfId="0" applyNumberFormat="1" applyFont="1" applyFill="1" applyBorder="1" applyAlignment="1">
      <alignment horizontal="center"/>
    </xf>
    <xf numFmtId="164" fontId="28" fillId="0" borderId="17" xfId="0" applyNumberFormat="1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7" fillId="0" borderId="0" xfId="0" applyNumberFormat="1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/>
    </xf>
    <xf numFmtId="0" fontId="1" fillId="9" borderId="3" xfId="0" quotePrefix="1" applyFont="1" applyFill="1" applyBorder="1" applyAlignment="1">
      <alignment horizontal="center"/>
    </xf>
    <xf numFmtId="0" fontId="3" fillId="10" borderId="37" xfId="0" quotePrefix="1" applyFont="1" applyFill="1" applyBorder="1" applyAlignment="1">
      <alignment horizontal="center"/>
    </xf>
    <xf numFmtId="0" fontId="8" fillId="0" borderId="17" xfId="0" quotePrefix="1" applyFont="1" applyFill="1" applyBorder="1" applyAlignment="1">
      <alignment horizontal="center"/>
    </xf>
    <xf numFmtId="0" fontId="5" fillId="0" borderId="35" xfId="0" quotePrefix="1" applyFont="1" applyFill="1" applyBorder="1" applyAlignment="1">
      <alignment horizontal="center"/>
    </xf>
    <xf numFmtId="0" fontId="1" fillId="9" borderId="15" xfId="0" quotePrefix="1" applyFont="1" applyFill="1" applyBorder="1" applyAlignment="1">
      <alignment horizontal="center"/>
    </xf>
    <xf numFmtId="0" fontId="3" fillId="10" borderId="38" xfId="0" quotePrefix="1" applyFont="1" applyFill="1" applyBorder="1" applyAlignment="1">
      <alignment horizontal="center"/>
    </xf>
    <xf numFmtId="0" fontId="26" fillId="9" borderId="39" xfId="0" applyFont="1" applyFill="1" applyBorder="1" applyAlignment="1">
      <alignment horizontal="center"/>
    </xf>
    <xf numFmtId="0" fontId="26" fillId="10" borderId="44" xfId="0" applyFont="1" applyFill="1" applyBorder="1" applyAlignment="1">
      <alignment horizontal="center"/>
    </xf>
    <xf numFmtId="0" fontId="26" fillId="9" borderId="15" xfId="0" applyFont="1" applyFill="1" applyBorder="1" applyAlignment="1">
      <alignment horizontal="center"/>
    </xf>
    <xf numFmtId="0" fontId="26" fillId="10" borderId="18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9" fillId="6" borderId="3" xfId="0" applyFont="1" applyFill="1" applyBorder="1"/>
    <xf numFmtId="0" fontId="29" fillId="6" borderId="15" xfId="0" applyFont="1" applyFill="1" applyBorder="1"/>
    <xf numFmtId="0" fontId="3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40" xfId="0" applyNumberFormat="1" applyFont="1" applyFill="1" applyBorder="1" applyAlignment="1">
      <alignment horizontal="center"/>
    </xf>
    <xf numFmtId="164" fontId="7" fillId="0" borderId="40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1" fillId="8" borderId="7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1" fillId="7" borderId="19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1" fillId="8" borderId="8" xfId="0" applyFont="1" applyFill="1" applyBorder="1" applyAlignment="1">
      <alignment horizontal="center"/>
    </xf>
    <xf numFmtId="0" fontId="21" fillId="8" borderId="19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192"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zoomScale="70" workbookViewId="0">
      <selection sqref="A1:H1"/>
    </sheetView>
  </sheetViews>
  <sheetFormatPr baseColWidth="10" defaultRowHeight="18.75"/>
  <cols>
    <col min="1" max="1" width="26.140625" style="1" customWidth="1"/>
    <col min="2" max="2" width="8.85546875" style="21" customWidth="1"/>
    <col min="3" max="3" width="10.7109375" style="21" bestFit="1" customWidth="1"/>
    <col min="4" max="4" width="7.85546875" style="2" bestFit="1" customWidth="1"/>
    <col min="5" max="8" width="6.7109375" style="2" customWidth="1"/>
    <col min="9" max="9" width="11.28515625" style="1" bestFit="1" customWidth="1"/>
    <col min="10" max="10" width="6.140625" style="1" bestFit="1" customWidth="1"/>
    <col min="11" max="11" width="4.42578125" style="1" bestFit="1" customWidth="1"/>
    <col min="12" max="16384" width="11.42578125" style="1"/>
  </cols>
  <sheetData>
    <row r="1" spans="1:11" ht="30.75">
      <c r="A1" s="174" t="s">
        <v>42</v>
      </c>
      <c r="B1" s="174"/>
      <c r="C1" s="174"/>
      <c r="D1" s="174"/>
      <c r="E1" s="174"/>
      <c r="F1" s="174"/>
      <c r="G1" s="174"/>
      <c r="H1" s="174"/>
    </row>
    <row r="2" spans="1:11" ht="23.25">
      <c r="A2" s="178" t="s">
        <v>43</v>
      </c>
      <c r="B2" s="178"/>
      <c r="C2" s="178"/>
      <c r="D2" s="178"/>
      <c r="E2" s="178"/>
      <c r="F2" s="178"/>
      <c r="G2" s="178"/>
      <c r="H2" s="178"/>
    </row>
    <row r="3" spans="1:11" ht="19.5">
      <c r="A3" s="175" t="s">
        <v>7</v>
      </c>
      <c r="B3" s="175"/>
      <c r="C3" s="175"/>
      <c r="D3" s="175"/>
      <c r="E3" s="175"/>
      <c r="F3" s="175"/>
      <c r="G3" s="175"/>
      <c r="H3" s="175"/>
    </row>
    <row r="4" spans="1:11" ht="26.25">
      <c r="A4" s="176" t="s">
        <v>11</v>
      </c>
      <c r="B4" s="176"/>
      <c r="C4" s="176"/>
      <c r="D4" s="176"/>
      <c r="E4" s="176"/>
      <c r="F4" s="176"/>
      <c r="G4" s="176"/>
      <c r="H4" s="176"/>
    </row>
    <row r="5" spans="1:11" ht="19.5">
      <c r="A5" s="177" t="s">
        <v>23</v>
      </c>
      <c r="B5" s="177"/>
      <c r="C5" s="177"/>
      <c r="D5" s="177"/>
      <c r="E5" s="177"/>
      <c r="F5" s="177"/>
      <c r="G5" s="177"/>
      <c r="H5" s="177"/>
    </row>
    <row r="6" spans="1:11" ht="19.5">
      <c r="A6" s="171" t="s">
        <v>44</v>
      </c>
      <c r="B6" s="171"/>
      <c r="C6" s="171"/>
      <c r="D6" s="171"/>
      <c r="E6" s="171"/>
      <c r="F6" s="171"/>
      <c r="G6" s="171"/>
      <c r="H6" s="171"/>
    </row>
    <row r="7" spans="1:11" ht="19.5">
      <c r="A7" s="66"/>
      <c r="B7" s="133"/>
      <c r="C7" s="133"/>
      <c r="D7" s="66"/>
      <c r="E7" s="66"/>
      <c r="F7" s="66"/>
      <c r="G7" s="66"/>
      <c r="H7" s="66"/>
    </row>
    <row r="8" spans="1:11" ht="20.25" thickBot="1">
      <c r="A8" s="179" t="s">
        <v>34</v>
      </c>
      <c r="B8" s="179"/>
      <c r="C8" s="179"/>
      <c r="D8" s="179"/>
      <c r="E8" s="179"/>
      <c r="F8" s="179"/>
      <c r="G8" s="179"/>
      <c r="H8" s="179"/>
    </row>
    <row r="9" spans="1:11" ht="19.5" thickBot="1">
      <c r="A9" s="172" t="s">
        <v>24</v>
      </c>
      <c r="B9" s="173"/>
      <c r="C9" s="173"/>
      <c r="D9" s="173"/>
      <c r="E9" s="173"/>
      <c r="F9" s="173"/>
      <c r="G9" s="173"/>
      <c r="H9" s="173"/>
      <c r="I9" s="113" t="s">
        <v>242</v>
      </c>
      <c r="J9" s="115" t="s">
        <v>244</v>
      </c>
    </row>
    <row r="10" spans="1:11" s="3" customFormat="1" ht="20.25" thickBot="1">
      <c r="A10" s="4" t="s">
        <v>0</v>
      </c>
      <c r="B10" s="134" t="s">
        <v>9</v>
      </c>
      <c r="C10" s="134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09" t="s">
        <v>5</v>
      </c>
      <c r="I10" s="114" t="s">
        <v>243</v>
      </c>
      <c r="J10" s="116" t="s">
        <v>245</v>
      </c>
    </row>
    <row r="11" spans="1:11" ht="20.25" thickBot="1">
      <c r="A11" s="122" t="s">
        <v>255</v>
      </c>
      <c r="B11" s="135" t="s">
        <v>247</v>
      </c>
      <c r="C11" s="139">
        <v>36734</v>
      </c>
      <c r="D11" s="123">
        <v>33</v>
      </c>
      <c r="E11" s="124">
        <v>53</v>
      </c>
      <c r="F11" s="125">
        <v>51</v>
      </c>
      <c r="G11" s="126">
        <f>SUM(E11:F11)</f>
        <v>104</v>
      </c>
      <c r="H11" s="130">
        <f>SUM(G11-D11)</f>
        <v>71</v>
      </c>
      <c r="I11" s="127">
        <v>71</v>
      </c>
      <c r="J11" s="128">
        <f>(H11-I11)</f>
        <v>0</v>
      </c>
      <c r="K11" s="22" t="s">
        <v>265</v>
      </c>
    </row>
    <row r="12" spans="1:11" ht="20.25" thickBot="1">
      <c r="A12" s="27" t="s">
        <v>49</v>
      </c>
      <c r="B12" s="136" t="s">
        <v>50</v>
      </c>
      <c r="C12" s="140">
        <v>37238</v>
      </c>
      <c r="D12" s="29">
        <v>15</v>
      </c>
      <c r="E12" s="25">
        <f>5+5+3+3+5+4+6+6+5</f>
        <v>42</v>
      </c>
      <c r="F12" s="30">
        <f>6+6+4+9+5+4+5+4+5</f>
        <v>48</v>
      </c>
      <c r="G12" s="17">
        <f>SUM(E12:F12)</f>
        <v>90</v>
      </c>
      <c r="H12" s="131">
        <f>SUM(G12-D12)</f>
        <v>75</v>
      </c>
      <c r="I12" s="110">
        <v>71</v>
      </c>
      <c r="J12" s="117">
        <f t="shared" ref="J12:J13" si="0">(H12-I12)</f>
        <v>4</v>
      </c>
      <c r="K12" s="22" t="s">
        <v>266</v>
      </c>
    </row>
    <row r="13" spans="1:11" ht="19.5">
      <c r="A13" s="27" t="s">
        <v>110</v>
      </c>
      <c r="B13" s="136" t="s">
        <v>112</v>
      </c>
      <c r="C13" s="140">
        <v>37079</v>
      </c>
      <c r="D13" s="29">
        <v>2</v>
      </c>
      <c r="E13" s="25">
        <f>4+4+4+5+4+5+5+3+5</f>
        <v>39</v>
      </c>
      <c r="F13" s="30">
        <f>5+4+5+5+3+5+4+5+4</f>
        <v>40</v>
      </c>
      <c r="G13" s="17">
        <f>SUM(E13:F13)</f>
        <v>79</v>
      </c>
      <c r="H13" s="131">
        <f>SUM(G13-D13)</f>
        <v>77</v>
      </c>
      <c r="I13" s="110">
        <v>71</v>
      </c>
      <c r="J13" s="117">
        <f t="shared" si="0"/>
        <v>6</v>
      </c>
    </row>
    <row r="14" spans="1:11" ht="19.5">
      <c r="A14" s="27" t="s">
        <v>51</v>
      </c>
      <c r="B14" s="136" t="s">
        <v>50</v>
      </c>
      <c r="C14" s="140">
        <v>36626</v>
      </c>
      <c r="D14" s="29">
        <v>11</v>
      </c>
      <c r="E14" s="25">
        <f>6+5+5+4+10+4+4+6+5</f>
        <v>49</v>
      </c>
      <c r="F14" s="30">
        <f>6+4+5+6+5+4+4+3+8</f>
        <v>45</v>
      </c>
      <c r="G14" s="17">
        <f>SUM(E14:F14)</f>
        <v>94</v>
      </c>
      <c r="H14" s="131">
        <f>SUM(G14-D14)</f>
        <v>83</v>
      </c>
      <c r="I14" s="110">
        <v>71</v>
      </c>
      <c r="J14" s="117">
        <f t="shared" ref="J14" si="1">(H14-I14)</f>
        <v>12</v>
      </c>
    </row>
    <row r="15" spans="1:11" ht="19.5">
      <c r="A15" s="158" t="s">
        <v>275</v>
      </c>
      <c r="B15" s="136" t="s">
        <v>146</v>
      </c>
      <c r="C15" s="140">
        <v>35650</v>
      </c>
      <c r="D15" s="145" t="s">
        <v>10</v>
      </c>
      <c r="E15" s="25" t="s">
        <v>5</v>
      </c>
      <c r="F15" s="30" t="s">
        <v>259</v>
      </c>
      <c r="G15" s="17" t="s">
        <v>260</v>
      </c>
      <c r="H15" s="146" t="s">
        <v>10</v>
      </c>
      <c r="I15" s="147" t="s">
        <v>10</v>
      </c>
      <c r="J15" s="148" t="s">
        <v>10</v>
      </c>
    </row>
    <row r="16" spans="1:11" ht="19.5">
      <c r="A16" s="158" t="s">
        <v>276</v>
      </c>
      <c r="B16" s="136" t="s">
        <v>112</v>
      </c>
      <c r="C16" s="140">
        <v>37075</v>
      </c>
      <c r="D16" s="145" t="s">
        <v>10</v>
      </c>
      <c r="E16" s="25" t="s">
        <v>5</v>
      </c>
      <c r="F16" s="30" t="s">
        <v>259</v>
      </c>
      <c r="G16" s="17" t="s">
        <v>260</v>
      </c>
      <c r="H16" s="146" t="s">
        <v>10</v>
      </c>
      <c r="I16" s="147" t="s">
        <v>10</v>
      </c>
      <c r="J16" s="148" t="s">
        <v>10</v>
      </c>
    </row>
    <row r="17" spans="1:11" ht="19.5">
      <c r="A17" s="158" t="s">
        <v>277</v>
      </c>
      <c r="B17" s="136" t="s">
        <v>119</v>
      </c>
      <c r="C17" s="140">
        <v>37110</v>
      </c>
      <c r="D17" s="145" t="s">
        <v>10</v>
      </c>
      <c r="E17" s="25" t="s">
        <v>5</v>
      </c>
      <c r="F17" s="30" t="s">
        <v>259</v>
      </c>
      <c r="G17" s="17" t="s">
        <v>260</v>
      </c>
      <c r="H17" s="146" t="s">
        <v>10</v>
      </c>
      <c r="I17" s="147" t="s">
        <v>10</v>
      </c>
      <c r="J17" s="148" t="s">
        <v>10</v>
      </c>
    </row>
    <row r="18" spans="1:11" ht="19.5">
      <c r="A18" s="158" t="s">
        <v>278</v>
      </c>
      <c r="B18" s="136" t="s">
        <v>50</v>
      </c>
      <c r="C18" s="140">
        <v>37164</v>
      </c>
      <c r="D18" s="145" t="s">
        <v>10</v>
      </c>
      <c r="E18" s="25" t="s">
        <v>5</v>
      </c>
      <c r="F18" s="30" t="s">
        <v>259</v>
      </c>
      <c r="G18" s="17" t="s">
        <v>260</v>
      </c>
      <c r="H18" s="146" t="s">
        <v>10</v>
      </c>
      <c r="I18" s="147" t="s">
        <v>10</v>
      </c>
      <c r="J18" s="148" t="s">
        <v>10</v>
      </c>
    </row>
    <row r="19" spans="1:11" ht="20.25" thickBot="1">
      <c r="A19" s="159" t="s">
        <v>279</v>
      </c>
      <c r="B19" s="137" t="s">
        <v>146</v>
      </c>
      <c r="C19" s="141">
        <v>37239</v>
      </c>
      <c r="D19" s="149" t="s">
        <v>10</v>
      </c>
      <c r="E19" s="101" t="s">
        <v>5</v>
      </c>
      <c r="F19" s="102" t="s">
        <v>259</v>
      </c>
      <c r="G19" s="103" t="s">
        <v>260</v>
      </c>
      <c r="H19" s="150" t="s">
        <v>10</v>
      </c>
      <c r="I19" s="151" t="s">
        <v>10</v>
      </c>
      <c r="J19" s="152" t="s">
        <v>10</v>
      </c>
    </row>
    <row r="20" spans="1:11" ht="19.5" thickBot="1">
      <c r="A20" s="70"/>
      <c r="B20" s="138"/>
      <c r="C20" s="142"/>
      <c r="D20" s="71"/>
      <c r="E20" s="69"/>
      <c r="F20" s="69"/>
      <c r="G20" s="1"/>
      <c r="H20" s="1"/>
      <c r="J20" s="118"/>
    </row>
    <row r="21" spans="1:11" ht="20.25" thickBot="1">
      <c r="A21" s="180" t="s">
        <v>27</v>
      </c>
      <c r="B21" s="181"/>
      <c r="C21" s="181"/>
      <c r="D21" s="181"/>
      <c r="E21" s="181"/>
      <c r="F21" s="181"/>
      <c r="G21" s="181"/>
      <c r="H21" s="182"/>
      <c r="J21" s="118"/>
    </row>
    <row r="22" spans="1:11" ht="19.5" thickBot="1">
      <c r="A22" s="168" t="s">
        <v>47</v>
      </c>
      <c r="B22" s="169"/>
      <c r="C22" s="169"/>
      <c r="D22" s="169"/>
      <c r="E22" s="169"/>
      <c r="F22" s="169"/>
      <c r="G22" s="169"/>
      <c r="H22" s="170"/>
      <c r="I22" s="113" t="s">
        <v>242</v>
      </c>
      <c r="J22" s="115" t="s">
        <v>244</v>
      </c>
    </row>
    <row r="23" spans="1:11" ht="20.25" thickBot="1">
      <c r="A23" s="4" t="s">
        <v>6</v>
      </c>
      <c r="B23" s="134" t="s">
        <v>9</v>
      </c>
      <c r="C23" s="134" t="s">
        <v>19</v>
      </c>
      <c r="D23" s="4" t="s">
        <v>1</v>
      </c>
      <c r="E23" s="4" t="s">
        <v>2</v>
      </c>
      <c r="F23" s="14" t="s">
        <v>3</v>
      </c>
      <c r="G23" s="13" t="s">
        <v>4</v>
      </c>
      <c r="H23" s="15" t="s">
        <v>5</v>
      </c>
      <c r="I23" s="120" t="s">
        <v>243</v>
      </c>
      <c r="J23" s="121" t="s">
        <v>245</v>
      </c>
    </row>
    <row r="24" spans="1:11" ht="20.25" thickBot="1">
      <c r="A24" s="27" t="s">
        <v>111</v>
      </c>
      <c r="B24" s="136" t="s">
        <v>112</v>
      </c>
      <c r="C24" s="140">
        <v>37876</v>
      </c>
      <c r="D24" s="29">
        <v>13</v>
      </c>
      <c r="E24" s="25">
        <f>5+3+5+5+2+4+6+4+4</f>
        <v>38</v>
      </c>
      <c r="F24" s="30">
        <f>4+4+4+6+4+5+5+6+4</f>
        <v>42</v>
      </c>
      <c r="G24" s="17">
        <f>SUM(E24:F24)</f>
        <v>80</v>
      </c>
      <c r="H24" s="132">
        <f>SUM(G24-D24)</f>
        <v>67</v>
      </c>
      <c r="I24" s="112">
        <v>71</v>
      </c>
      <c r="J24" s="117">
        <f>(H24-I24)</f>
        <v>-4</v>
      </c>
      <c r="K24" s="22" t="s">
        <v>265</v>
      </c>
    </row>
    <row r="25" spans="1:11" ht="20.25" thickBot="1">
      <c r="A25" s="27" t="s">
        <v>75</v>
      </c>
      <c r="B25" s="136" t="s">
        <v>146</v>
      </c>
      <c r="C25" s="140">
        <v>38257</v>
      </c>
      <c r="D25" s="29">
        <v>15</v>
      </c>
      <c r="E25" s="25">
        <f>4+4+5+4+3+6+3+4+6</f>
        <v>39</v>
      </c>
      <c r="F25" s="30">
        <f>5+5+5+5+8+4+5+4+5</f>
        <v>46</v>
      </c>
      <c r="G25" s="17">
        <f>SUM(E25:F25)</f>
        <v>85</v>
      </c>
      <c r="H25" s="132">
        <f>SUM(G25-D25)</f>
        <v>70</v>
      </c>
      <c r="I25" s="110">
        <v>72</v>
      </c>
      <c r="J25" s="117">
        <f t="shared" ref="J25" si="2">(H25-I25)</f>
        <v>-2</v>
      </c>
      <c r="K25" s="22" t="s">
        <v>266</v>
      </c>
    </row>
    <row r="26" spans="1:11" ht="19.5">
      <c r="A26" s="27" t="s">
        <v>120</v>
      </c>
      <c r="B26" s="136" t="s">
        <v>119</v>
      </c>
      <c r="C26" s="140">
        <v>37495</v>
      </c>
      <c r="D26" s="29">
        <v>5</v>
      </c>
      <c r="E26" s="25">
        <f>4+5+4+3+4+4+4+5+6</f>
        <v>39</v>
      </c>
      <c r="F26" s="30">
        <f>5+4+4+5+4+3+4+5+5</f>
        <v>39</v>
      </c>
      <c r="G26" s="17">
        <f>SUM(E26:F26)</f>
        <v>78</v>
      </c>
      <c r="H26" s="16">
        <f>SUM(G26-D26)</f>
        <v>73</v>
      </c>
      <c r="I26" s="110">
        <v>73</v>
      </c>
      <c r="J26" s="117">
        <f t="shared" ref="J26:J28" si="3">(H26-I26)</f>
        <v>0</v>
      </c>
    </row>
    <row r="27" spans="1:11" ht="19.5">
      <c r="A27" s="27" t="s">
        <v>109</v>
      </c>
      <c r="B27" s="136" t="s">
        <v>112</v>
      </c>
      <c r="C27" s="140">
        <v>35715</v>
      </c>
      <c r="D27" s="29">
        <v>32</v>
      </c>
      <c r="E27" s="25">
        <f>8+7+6+5+3+8+7+7+6</f>
        <v>57</v>
      </c>
      <c r="F27" s="30">
        <f>5+4+5+7+5+6+6+6+5</f>
        <v>49</v>
      </c>
      <c r="G27" s="17">
        <f>SUM(E27:F27)</f>
        <v>106</v>
      </c>
      <c r="H27" s="16">
        <f>SUM(G27-D27)</f>
        <v>74</v>
      </c>
      <c r="I27" s="110">
        <v>73</v>
      </c>
      <c r="J27" s="117">
        <f t="shared" si="3"/>
        <v>1</v>
      </c>
    </row>
    <row r="28" spans="1:11" ht="19.5">
      <c r="A28" s="27" t="s">
        <v>76</v>
      </c>
      <c r="B28" s="136" t="s">
        <v>146</v>
      </c>
      <c r="C28" s="140">
        <v>37680</v>
      </c>
      <c r="D28" s="29">
        <v>3</v>
      </c>
      <c r="E28" s="25">
        <f>4+4+4+5+5+5+4+5+4</f>
        <v>40</v>
      </c>
      <c r="F28" s="30">
        <f>4+5+4+4+6+3+5+4+6</f>
        <v>41</v>
      </c>
      <c r="G28" s="17">
        <f>SUM(E28:F28)</f>
        <v>81</v>
      </c>
      <c r="H28" s="16">
        <f>SUM(G28-D28)</f>
        <v>78</v>
      </c>
      <c r="I28" s="110">
        <v>72</v>
      </c>
      <c r="J28" s="117">
        <f t="shared" si="3"/>
        <v>6</v>
      </c>
    </row>
    <row r="29" spans="1:11" ht="20.25" thickBot="1">
      <c r="A29" s="159" t="s">
        <v>258</v>
      </c>
      <c r="B29" s="137" t="s">
        <v>247</v>
      </c>
      <c r="C29" s="141">
        <v>38229</v>
      </c>
      <c r="D29" s="100" t="s">
        <v>5</v>
      </c>
      <c r="E29" s="101" t="s">
        <v>259</v>
      </c>
      <c r="F29" s="102" t="s">
        <v>260</v>
      </c>
      <c r="G29" s="103" t="s">
        <v>10</v>
      </c>
      <c r="H29" s="104" t="s">
        <v>10</v>
      </c>
      <c r="I29" s="111" t="s">
        <v>10</v>
      </c>
      <c r="J29" s="119" t="s">
        <v>10</v>
      </c>
    </row>
  </sheetData>
  <sortState ref="A11:I14">
    <sortCondition ref="H11:H14"/>
  </sortState>
  <mergeCells count="10">
    <mergeCell ref="A22:H22"/>
    <mergeCell ref="A6:H6"/>
    <mergeCell ref="A9:H9"/>
    <mergeCell ref="A1:H1"/>
    <mergeCell ref="A3:H3"/>
    <mergeCell ref="A4:H4"/>
    <mergeCell ref="A5:H5"/>
    <mergeCell ref="A2:H2"/>
    <mergeCell ref="A8:H8"/>
    <mergeCell ref="A21:H21"/>
  </mergeCells>
  <phoneticPr fontId="0" type="noConversion"/>
  <conditionalFormatting sqref="J11:J19">
    <cfRule type="cellIs" dxfId="191" priority="109" operator="equal">
      <formula>0</formula>
    </cfRule>
    <cfRule type="cellIs" dxfId="190" priority="110" operator="lessThan">
      <formula>0</formula>
    </cfRule>
    <cfRule type="cellIs" dxfId="189" priority="111" operator="greaterThan">
      <formula>0</formula>
    </cfRule>
  </conditionalFormatting>
  <conditionalFormatting sqref="J24">
    <cfRule type="cellIs" dxfId="188" priority="100" operator="equal">
      <formula>0</formula>
    </cfRule>
    <cfRule type="cellIs" dxfId="187" priority="101" operator="lessThan">
      <formula>0</formula>
    </cfRule>
    <cfRule type="cellIs" dxfId="186" priority="102" operator="greaterThan">
      <formula>0</formula>
    </cfRule>
  </conditionalFormatting>
  <conditionalFormatting sqref="J25">
    <cfRule type="cellIs" dxfId="185" priority="97" operator="equal">
      <formula>0</formula>
    </cfRule>
    <cfRule type="cellIs" dxfId="184" priority="98" operator="lessThan">
      <formula>0</formula>
    </cfRule>
    <cfRule type="cellIs" dxfId="183" priority="99" operator="greaterThan">
      <formula>0</formula>
    </cfRule>
  </conditionalFormatting>
  <conditionalFormatting sqref="J26">
    <cfRule type="cellIs" dxfId="182" priority="94" operator="equal">
      <formula>0</formula>
    </cfRule>
    <cfRule type="cellIs" dxfId="181" priority="95" operator="lessThan">
      <formula>0</formula>
    </cfRule>
    <cfRule type="cellIs" dxfId="180" priority="96" operator="greaterThan">
      <formula>0</formula>
    </cfRule>
  </conditionalFormatting>
  <conditionalFormatting sqref="J27">
    <cfRule type="cellIs" dxfId="179" priority="91" operator="equal">
      <formula>0</formula>
    </cfRule>
    <cfRule type="cellIs" dxfId="178" priority="92" operator="lessThan">
      <formula>0</formula>
    </cfRule>
    <cfRule type="cellIs" dxfId="177" priority="93" operator="greaterThan">
      <formula>0</formula>
    </cfRule>
  </conditionalFormatting>
  <conditionalFormatting sqref="J28">
    <cfRule type="cellIs" dxfId="176" priority="88" operator="equal">
      <formula>0</formula>
    </cfRule>
    <cfRule type="cellIs" dxfId="175" priority="89" operator="lessThan">
      <formula>0</formula>
    </cfRule>
    <cfRule type="cellIs" dxfId="174" priority="90" operator="greaterThan">
      <formula>0</formula>
    </cfRule>
  </conditionalFormatting>
  <conditionalFormatting sqref="J29">
    <cfRule type="cellIs" dxfId="173" priority="85" operator="equal">
      <formula>0</formula>
    </cfRule>
    <cfRule type="cellIs" dxfId="172" priority="86" operator="lessThan">
      <formula>0</formula>
    </cfRule>
    <cfRule type="cellIs" dxfId="171" priority="87" operator="greaterThan">
      <formula>0</formula>
    </cfRule>
  </conditionalFormatting>
  <conditionalFormatting sqref="J28">
    <cfRule type="cellIs" dxfId="170" priority="82" operator="equal">
      <formula>0</formula>
    </cfRule>
    <cfRule type="cellIs" dxfId="169" priority="83" operator="lessThan">
      <formula>0</formula>
    </cfRule>
    <cfRule type="cellIs" dxfId="168" priority="84" operator="greaterThan">
      <formula>0</formula>
    </cfRule>
  </conditionalFormatting>
  <conditionalFormatting sqref="J29">
    <cfRule type="cellIs" dxfId="167" priority="79" operator="equal">
      <formula>0</formula>
    </cfRule>
    <cfRule type="cellIs" dxfId="166" priority="80" operator="lessThan">
      <formula>0</formula>
    </cfRule>
    <cfRule type="cellIs" dxfId="165" priority="81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zoomScale="70" zoomScaleNormal="70" workbookViewId="0">
      <selection sqref="A1:H1"/>
    </sheetView>
  </sheetViews>
  <sheetFormatPr baseColWidth="10" defaultRowHeight="19.5"/>
  <cols>
    <col min="1" max="1" width="33.42578125" style="7" customWidth="1"/>
    <col min="2" max="2" width="13.140625" style="7" bestFit="1" customWidth="1"/>
    <col min="3" max="3" width="11.140625" style="76" customWidth="1"/>
    <col min="4" max="6" width="4.85546875" style="7" bestFit="1" customWidth="1"/>
    <col min="7" max="7" width="10.28515625" style="7" bestFit="1" customWidth="1"/>
    <col min="8" max="8" width="4.85546875" style="24" bestFit="1" customWidth="1"/>
    <col min="9" max="9" width="13.140625" style="7" bestFit="1" customWidth="1"/>
    <col min="10" max="10" width="4.42578125" style="7" bestFit="1" customWidth="1"/>
    <col min="11" max="16384" width="11.42578125" style="7"/>
  </cols>
  <sheetData>
    <row r="1" spans="1:10">
      <c r="A1" s="195" t="str">
        <f>JUV!A1</f>
        <v>2° TORNEO VIRTUAL</v>
      </c>
      <c r="B1" s="195"/>
      <c r="C1" s="195"/>
      <c r="D1" s="195"/>
      <c r="E1" s="195"/>
      <c r="F1" s="195"/>
      <c r="G1" s="195"/>
      <c r="H1" s="195"/>
      <c r="I1" s="8"/>
      <c r="J1" s="31"/>
    </row>
    <row r="2" spans="1:10">
      <c r="A2" s="196" t="str">
        <f>JUV!A2</f>
        <v>CLUBES DE LA FEDERACION</v>
      </c>
      <c r="B2" s="196"/>
      <c r="C2" s="196"/>
      <c r="D2" s="196"/>
      <c r="E2" s="196"/>
      <c r="F2" s="196"/>
      <c r="G2" s="196"/>
      <c r="H2" s="196"/>
      <c r="I2" s="8"/>
      <c r="J2" s="31"/>
    </row>
    <row r="3" spans="1:10">
      <c r="A3" s="195" t="s">
        <v>7</v>
      </c>
      <c r="B3" s="195"/>
      <c r="C3" s="195"/>
      <c r="D3" s="195"/>
      <c r="E3" s="195"/>
      <c r="F3" s="195"/>
      <c r="G3" s="195"/>
      <c r="H3" s="195"/>
      <c r="I3" s="8"/>
      <c r="J3" s="31"/>
    </row>
    <row r="4" spans="1:10">
      <c r="A4" s="197" t="s">
        <v>11</v>
      </c>
      <c r="B4" s="197"/>
      <c r="C4" s="197"/>
      <c r="D4" s="197"/>
      <c r="E4" s="197"/>
      <c r="F4" s="197"/>
      <c r="G4" s="197"/>
      <c r="H4" s="197"/>
      <c r="I4" s="8"/>
      <c r="J4" s="31"/>
    </row>
    <row r="5" spans="1:10">
      <c r="A5" s="195" t="str">
        <f>JUV!A5</f>
        <v>DOS VUELTAS DE 9 HOYOS MEDAL PLAY</v>
      </c>
      <c r="B5" s="195"/>
      <c r="C5" s="195"/>
      <c r="D5" s="195"/>
      <c r="E5" s="195"/>
      <c r="F5" s="195"/>
      <c r="G5" s="195"/>
      <c r="H5" s="195"/>
      <c r="I5" s="8"/>
      <c r="J5" s="31"/>
    </row>
    <row r="6" spans="1:10" ht="20.25" thickBot="1">
      <c r="A6" s="195" t="str">
        <f>JUV!A6</f>
        <v>10  AL 13 DE OCTUBRE DE 2020</v>
      </c>
      <c r="B6" s="195"/>
      <c r="C6" s="195"/>
      <c r="D6" s="195"/>
      <c r="E6" s="195"/>
      <c r="F6" s="195"/>
      <c r="G6" s="195"/>
      <c r="H6" s="195"/>
      <c r="I6" s="8"/>
      <c r="J6" s="31"/>
    </row>
    <row r="7" spans="1:10" ht="20.25" thickBot="1">
      <c r="A7" s="198" t="s">
        <v>35</v>
      </c>
      <c r="B7" s="199"/>
      <c r="C7" s="199"/>
      <c r="D7" s="199"/>
      <c r="E7" s="199"/>
      <c r="F7" s="199"/>
      <c r="G7" s="199"/>
      <c r="H7" s="200"/>
      <c r="I7" s="8"/>
      <c r="J7" s="31"/>
    </row>
    <row r="8" spans="1:10" ht="20.25" thickBot="1">
      <c r="A8" s="4" t="s">
        <v>6</v>
      </c>
      <c r="B8" s="9" t="s">
        <v>9</v>
      </c>
      <c r="C8" s="74" t="s">
        <v>19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8"/>
      <c r="J8" s="31"/>
    </row>
    <row r="9" spans="1:10" ht="20.100000000000001" customHeight="1" thickBot="1">
      <c r="A9" s="12" t="str">
        <f>JUV!A24</f>
        <v>AYESA SOFIA</v>
      </c>
      <c r="B9" s="18" t="str">
        <f>JUV!B24</f>
        <v>MDPGC</v>
      </c>
      <c r="C9" s="75">
        <f>JUV!C24</f>
        <v>37876</v>
      </c>
      <c r="D9" s="19">
        <f>JUV!D24</f>
        <v>13</v>
      </c>
      <c r="E9" s="19">
        <f>JUV!E24</f>
        <v>38</v>
      </c>
      <c r="F9" s="19">
        <f>JUV!F24</f>
        <v>42</v>
      </c>
      <c r="G9" s="67">
        <f>SUM(E9:F9)</f>
        <v>80</v>
      </c>
      <c r="H9" s="23">
        <f>SUM(G9-D9)</f>
        <v>67</v>
      </c>
      <c r="I9" s="9" t="s">
        <v>15</v>
      </c>
      <c r="J9" s="31"/>
    </row>
    <row r="10" spans="1:10" ht="20.100000000000001" customHeight="1" thickBot="1">
      <c r="A10" s="12" t="str">
        <f>JUV!A25</f>
        <v>ERRECART GIMENA</v>
      </c>
      <c r="B10" s="18" t="str">
        <f>JUV!B25</f>
        <v>CMDP</v>
      </c>
      <c r="C10" s="75">
        <f>JUV!C25</f>
        <v>38257</v>
      </c>
      <c r="D10" s="19">
        <f>JUV!D25</f>
        <v>15</v>
      </c>
      <c r="E10" s="19">
        <f>JUV!E25</f>
        <v>39</v>
      </c>
      <c r="F10" s="19">
        <f>JUV!F25</f>
        <v>46</v>
      </c>
      <c r="G10" s="67">
        <f t="shared" ref="G10" si="0">SUM(E10:F10)</f>
        <v>85</v>
      </c>
      <c r="H10" s="23">
        <f t="shared" ref="H10" si="1">SUM(G10-D10)</f>
        <v>70</v>
      </c>
      <c r="I10" s="9" t="s">
        <v>16</v>
      </c>
      <c r="J10" s="31"/>
    </row>
    <row r="11" spans="1:10" ht="20.25" thickBot="1">
      <c r="A11" s="198" t="str">
        <f>JUV!A9</f>
        <v>CABALLEROS JUVENILES (Clases 95- 96- 97- 98 - 99 - 00 y 01)</v>
      </c>
      <c r="B11" s="199"/>
      <c r="C11" s="199"/>
      <c r="D11" s="199"/>
      <c r="E11" s="199"/>
      <c r="F11" s="199"/>
      <c r="G11" s="199"/>
      <c r="H11" s="200"/>
      <c r="I11" s="1"/>
      <c r="J11" s="31"/>
    </row>
    <row r="12" spans="1:10" ht="20.25" thickBot="1">
      <c r="A12" s="4" t="s">
        <v>0</v>
      </c>
      <c r="B12" s="9" t="s">
        <v>9</v>
      </c>
      <c r="C12" s="74" t="s">
        <v>19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8"/>
      <c r="J12" s="31"/>
    </row>
    <row r="13" spans="1:10" ht="20.100000000000001" customHeight="1" thickBot="1">
      <c r="A13" s="12" t="str">
        <f>JUV!A11</f>
        <v>BRISIGHELLI LUCA</v>
      </c>
      <c r="B13" s="18" t="str">
        <f>JUV!B11</f>
        <v>NGC</v>
      </c>
      <c r="C13" s="75">
        <f>JUV!C11</f>
        <v>36734</v>
      </c>
      <c r="D13" s="19">
        <f>JUV!D11</f>
        <v>33</v>
      </c>
      <c r="E13" s="19">
        <f>JUV!E11</f>
        <v>53</v>
      </c>
      <c r="F13" s="19">
        <f>JUV!F11</f>
        <v>51</v>
      </c>
      <c r="G13" s="67">
        <f>JUV!G11</f>
        <v>104</v>
      </c>
      <c r="H13" s="23">
        <f t="shared" ref="H13" si="2">SUM(G13-D13)</f>
        <v>71</v>
      </c>
      <c r="I13" s="9" t="s">
        <v>15</v>
      </c>
      <c r="J13" s="31"/>
    </row>
    <row r="14" spans="1:10" ht="20.100000000000001" customHeight="1" thickBot="1">
      <c r="A14" s="12" t="str">
        <f>JUV!A12</f>
        <v>FERNANDEZ FRANCISCO</v>
      </c>
      <c r="B14" s="18" t="str">
        <f>JUV!B12</f>
        <v>EVTGC</v>
      </c>
      <c r="C14" s="75">
        <f>JUV!C12</f>
        <v>37238</v>
      </c>
      <c r="D14" s="19">
        <f>JUV!D12</f>
        <v>15</v>
      </c>
      <c r="E14" s="19">
        <f>JUV!E12</f>
        <v>42</v>
      </c>
      <c r="F14" s="19">
        <f>JUV!F12</f>
        <v>48</v>
      </c>
      <c r="G14" s="67">
        <f>JUV!G12</f>
        <v>90</v>
      </c>
      <c r="H14" s="23">
        <f t="shared" ref="H14" si="3">SUM(G14-D14)</f>
        <v>75</v>
      </c>
      <c r="I14" s="9" t="s">
        <v>36</v>
      </c>
      <c r="J14" s="31"/>
    </row>
    <row r="15" spans="1:10" ht="20.25" thickBot="1">
      <c r="A15" s="198" t="str">
        <f>'M 18'!A9</f>
        <v>CABALLEROS MENORES (Clases 02 - 03 y 04)</v>
      </c>
      <c r="B15" s="199"/>
      <c r="C15" s="199"/>
      <c r="D15" s="199"/>
      <c r="E15" s="199"/>
      <c r="F15" s="199"/>
      <c r="G15" s="199"/>
      <c r="H15" s="200"/>
      <c r="I15" s="1"/>
      <c r="J15" s="31"/>
    </row>
    <row r="16" spans="1:10" ht="20.25" thickBot="1">
      <c r="A16" s="4" t="s">
        <v>0</v>
      </c>
      <c r="B16" s="9" t="s">
        <v>9</v>
      </c>
      <c r="C16" s="74" t="s">
        <v>19</v>
      </c>
      <c r="D16" s="4" t="s">
        <v>1</v>
      </c>
      <c r="E16" s="4" t="s">
        <v>2</v>
      </c>
      <c r="F16" s="4" t="s">
        <v>3</v>
      </c>
      <c r="G16" s="4" t="s">
        <v>4</v>
      </c>
      <c r="H16" s="4" t="s">
        <v>5</v>
      </c>
      <c r="I16" s="8"/>
      <c r="J16" s="31"/>
    </row>
    <row r="17" spans="1:10" ht="20.100000000000001" customHeight="1" thickBot="1">
      <c r="A17" s="12" t="str">
        <f>'M 18'!A11</f>
        <v>BILBAO FRANCISCO</v>
      </c>
      <c r="B17" s="18" t="str">
        <f>'M 18'!B11</f>
        <v>CMDP</v>
      </c>
      <c r="C17" s="75">
        <f>'M 18'!C11</f>
        <v>37347</v>
      </c>
      <c r="D17" s="19">
        <f>'M 18'!D11</f>
        <v>3</v>
      </c>
      <c r="E17" s="19">
        <f>'M 18'!E11</f>
        <v>36</v>
      </c>
      <c r="F17" s="19">
        <f>'M 18'!F11</f>
        <v>37</v>
      </c>
      <c r="G17" s="67">
        <f>'M 18'!G11</f>
        <v>73</v>
      </c>
      <c r="H17" s="23">
        <f t="shared" ref="H17:H18" si="4">SUM(G17-D17)</f>
        <v>70</v>
      </c>
      <c r="I17" s="9" t="s">
        <v>15</v>
      </c>
      <c r="J17" s="31"/>
    </row>
    <row r="18" spans="1:10" ht="20.100000000000001" customHeight="1" thickBot="1">
      <c r="A18" s="12" t="str">
        <f>'M 18'!A12</f>
        <v>FAIRBAIRN NICOLAS</v>
      </c>
      <c r="B18" s="18" t="str">
        <f>'M 18'!B12</f>
        <v>TGC</v>
      </c>
      <c r="C18" s="75">
        <f>'M 18'!C12</f>
        <v>38162</v>
      </c>
      <c r="D18" s="19">
        <f>'M 18'!D12</f>
        <v>5</v>
      </c>
      <c r="E18" s="19">
        <f>'M 18'!E12</f>
        <v>37</v>
      </c>
      <c r="F18" s="19">
        <f>'M 18'!F12</f>
        <v>37</v>
      </c>
      <c r="G18" s="67">
        <f>'M 18'!G12</f>
        <v>74</v>
      </c>
      <c r="H18" s="23">
        <f t="shared" si="4"/>
        <v>69</v>
      </c>
      <c r="I18" s="9" t="s">
        <v>16</v>
      </c>
      <c r="J18" s="31"/>
    </row>
    <row r="19" spans="1:10" thickBot="1">
      <c r="A19" s="192" t="str">
        <f>'M 15'!A9:H9</f>
        <v>CABALLEROS MENORES DE 15 AÑOS (Clases 05 y 06)</v>
      </c>
      <c r="B19" s="193"/>
      <c r="C19" s="193"/>
      <c r="D19" s="193"/>
      <c r="E19" s="193"/>
      <c r="F19" s="193"/>
      <c r="G19" s="193"/>
      <c r="H19" s="194"/>
      <c r="I19" s="1"/>
      <c r="J19" s="31"/>
    </row>
    <row r="20" spans="1:10" ht="20.25" thickBot="1">
      <c r="A20" s="4" t="s">
        <v>0</v>
      </c>
      <c r="B20" s="9" t="s">
        <v>9</v>
      </c>
      <c r="C20" s="74" t="s">
        <v>19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47"/>
      <c r="J20" s="31"/>
    </row>
    <row r="21" spans="1:10" ht="20.100000000000001" customHeight="1" thickBot="1">
      <c r="A21" s="12" t="str">
        <f>'M 15'!A11</f>
        <v>SALVI BENICIO</v>
      </c>
      <c r="B21" s="18" t="str">
        <f>'M 15'!B11</f>
        <v>EVTGC</v>
      </c>
      <c r="C21" s="75">
        <f>'M 15'!C11</f>
        <v>38873</v>
      </c>
      <c r="D21" s="19">
        <f>'M 15'!D11</f>
        <v>21</v>
      </c>
      <c r="E21" s="19">
        <f>'M 15'!E11</f>
        <v>41</v>
      </c>
      <c r="F21" s="19">
        <f>'M 15'!F11</f>
        <v>41</v>
      </c>
      <c r="G21" s="67">
        <f>'M 15'!G11</f>
        <v>82</v>
      </c>
      <c r="H21" s="23">
        <f t="shared" ref="H21" si="5">SUM(G21-D21)</f>
        <v>61</v>
      </c>
      <c r="I21" s="9" t="s">
        <v>15</v>
      </c>
      <c r="J21" s="31"/>
    </row>
    <row r="22" spans="1:10" ht="20.100000000000001" customHeight="1" thickBot="1">
      <c r="A22" s="12" t="str">
        <f>'M 15'!A12</f>
        <v>ZHAO JOSE</v>
      </c>
      <c r="B22" s="18" t="str">
        <f>'M 15'!B12</f>
        <v>CMDP</v>
      </c>
      <c r="C22" s="75">
        <f>'M 15'!C12</f>
        <v>38395</v>
      </c>
      <c r="D22" s="19">
        <f>'M 15'!D12</f>
        <v>23</v>
      </c>
      <c r="E22" s="19">
        <f>'M 15'!E12</f>
        <v>46</v>
      </c>
      <c r="F22" s="19">
        <f>'M 15'!F12</f>
        <v>41</v>
      </c>
      <c r="G22" s="67">
        <f>'M 15'!G12</f>
        <v>87</v>
      </c>
      <c r="H22" s="23">
        <f t="shared" ref="H22" si="6">SUM(G22-D22)</f>
        <v>64</v>
      </c>
      <c r="I22" s="9" t="s">
        <v>16</v>
      </c>
      <c r="J22" s="31"/>
    </row>
    <row r="23" spans="1:10" ht="20.25" thickBot="1">
      <c r="A23" s="198" t="str">
        <f>'M 15'!A29:H29</f>
        <v>DAMAS MENORES DE 15 AÑOS (Clases 05 y Posteriores)</v>
      </c>
      <c r="B23" s="199"/>
      <c r="C23" s="199"/>
      <c r="D23" s="199"/>
      <c r="E23" s="199"/>
      <c r="F23" s="199"/>
      <c r="G23" s="199"/>
      <c r="H23" s="200"/>
      <c r="I23" s="11"/>
      <c r="J23" s="31"/>
    </row>
    <row r="24" spans="1:10" ht="20.25" thickBot="1">
      <c r="A24" s="4" t="s">
        <v>6</v>
      </c>
      <c r="B24" s="9" t="s">
        <v>9</v>
      </c>
      <c r="C24" s="74" t="s">
        <v>19</v>
      </c>
      <c r="D24" s="4" t="s">
        <v>1</v>
      </c>
      <c r="E24" s="4" t="s">
        <v>2</v>
      </c>
      <c r="F24" s="4" t="s">
        <v>3</v>
      </c>
      <c r="G24" s="4" t="s">
        <v>4</v>
      </c>
      <c r="H24" s="4" t="s">
        <v>5</v>
      </c>
      <c r="I24" s="8"/>
      <c r="J24" s="31"/>
    </row>
    <row r="25" spans="1:10" ht="20.100000000000001" customHeight="1" thickBot="1">
      <c r="A25" s="12" t="str">
        <f>'M 15'!A31</f>
        <v>MORDENTTI IGNACIA</v>
      </c>
      <c r="B25" s="18" t="str">
        <f>'M 15'!B31</f>
        <v>TGC</v>
      </c>
      <c r="C25" s="75">
        <f>'M 15'!C31</f>
        <v>38642</v>
      </c>
      <c r="D25" s="19">
        <f>'M 15'!D31</f>
        <v>37</v>
      </c>
      <c r="E25" s="19">
        <f>'M 15'!E31</f>
        <v>46</v>
      </c>
      <c r="F25" s="19">
        <f>'M 15'!F31</f>
        <v>51</v>
      </c>
      <c r="G25" s="67">
        <f>'M 15'!G31</f>
        <v>97</v>
      </c>
      <c r="H25" s="23">
        <f>'M 15'!H31</f>
        <v>60</v>
      </c>
      <c r="I25" s="9" t="s">
        <v>15</v>
      </c>
      <c r="J25" s="31"/>
    </row>
    <row r="26" spans="1:10" ht="20.100000000000001" customHeight="1" thickBot="1">
      <c r="A26" s="12" t="str">
        <f>'M 15'!A32</f>
        <v>MORAN VALENTINA</v>
      </c>
      <c r="B26" s="18" t="str">
        <f>'M 15'!B32</f>
        <v>NGC</v>
      </c>
      <c r="C26" s="75">
        <f>'M 15'!C32</f>
        <v>38885</v>
      </c>
      <c r="D26" s="19">
        <f>'M 15'!D32</f>
        <v>33</v>
      </c>
      <c r="E26" s="19">
        <f>'M 15'!E32</f>
        <v>51</v>
      </c>
      <c r="F26" s="19">
        <f>'M 15'!F32</f>
        <v>46</v>
      </c>
      <c r="G26" s="67">
        <f>'M 15'!G32</f>
        <v>97</v>
      </c>
      <c r="H26" s="23">
        <f>'M 15'!H32</f>
        <v>64</v>
      </c>
      <c r="I26" s="9" t="s">
        <v>16</v>
      </c>
      <c r="J26" s="31"/>
    </row>
    <row r="27" spans="1:10" thickBot="1">
      <c r="A27" s="192" t="str">
        <f>'M 13'!A9:H9</f>
        <v>CABALLEROS MENORES DE 13 AÑOS (Clases 07 y Posteriores)</v>
      </c>
      <c r="B27" s="193"/>
      <c r="C27" s="193"/>
      <c r="D27" s="193"/>
      <c r="E27" s="193"/>
      <c r="F27" s="193"/>
      <c r="G27" s="193"/>
      <c r="H27" s="194"/>
      <c r="I27" s="1"/>
    </row>
    <row r="28" spans="1:10" ht="20.25" thickBot="1">
      <c r="A28" s="4" t="s">
        <v>0</v>
      </c>
      <c r="B28" s="9" t="s">
        <v>9</v>
      </c>
      <c r="C28" s="74" t="s">
        <v>19</v>
      </c>
      <c r="D28" s="4" t="s">
        <v>1</v>
      </c>
      <c r="E28" s="4" t="s">
        <v>2</v>
      </c>
      <c r="F28" s="4" t="s">
        <v>3</v>
      </c>
      <c r="G28" s="4" t="s">
        <v>4</v>
      </c>
      <c r="H28" s="4" t="s">
        <v>5</v>
      </c>
      <c r="I28" s="85"/>
    </row>
    <row r="29" spans="1:10" ht="20.100000000000001" customHeight="1" thickBot="1">
      <c r="A29" s="12" t="str">
        <f>'M 13'!A11</f>
        <v>JARQUE FELIPE</v>
      </c>
      <c r="B29" s="18" t="str">
        <f>'M 13'!B11</f>
        <v>EVTGC</v>
      </c>
      <c r="C29" s="75">
        <f>'M 13'!C11</f>
        <v>39866</v>
      </c>
      <c r="D29" s="19">
        <f>'M 13'!D11</f>
        <v>29</v>
      </c>
      <c r="E29" s="19">
        <f>'M 13'!E11</f>
        <v>44</v>
      </c>
      <c r="F29" s="19">
        <f>'M 13'!F11</f>
        <v>48</v>
      </c>
      <c r="G29" s="67">
        <f>'M 13'!G11</f>
        <v>92</v>
      </c>
      <c r="H29" s="23">
        <f>'M 13'!H11</f>
        <v>63</v>
      </c>
      <c r="I29" s="9" t="s">
        <v>15</v>
      </c>
      <c r="J29" s="31"/>
    </row>
    <row r="30" spans="1:10" ht="20.100000000000001" customHeight="1" thickBot="1">
      <c r="A30" s="77" t="str">
        <f>'M 13'!A12</f>
        <v>DURINGER BENJAMIN</v>
      </c>
      <c r="B30" s="78" t="str">
        <f>'M 13'!B12</f>
        <v>EVTGC</v>
      </c>
      <c r="C30" s="79">
        <f>'M 13'!C12</f>
        <v>39703</v>
      </c>
      <c r="D30" s="80">
        <f>'M 13'!D12</f>
        <v>29</v>
      </c>
      <c r="E30" s="80">
        <f>'M 13'!E12</f>
        <v>44</v>
      </c>
      <c r="F30" s="80">
        <f>'M 13'!F12</f>
        <v>53</v>
      </c>
      <c r="G30" s="81">
        <f>'M 13'!G12</f>
        <v>97</v>
      </c>
      <c r="H30" s="82">
        <f>'M 13'!H12</f>
        <v>68</v>
      </c>
      <c r="I30" s="9" t="s">
        <v>16</v>
      </c>
      <c r="J30" s="31"/>
    </row>
  </sheetData>
  <mergeCells count="12">
    <mergeCell ref="A27:H27"/>
    <mergeCell ref="A5:H5"/>
    <mergeCell ref="A6:H6"/>
    <mergeCell ref="A1:H1"/>
    <mergeCell ref="A2:H2"/>
    <mergeCell ref="A3:H3"/>
    <mergeCell ref="A4:H4"/>
    <mergeCell ref="A19:H19"/>
    <mergeCell ref="A23:H23"/>
    <mergeCell ref="A7:H7"/>
    <mergeCell ref="A11:H11"/>
    <mergeCell ref="A15:H1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123"/>
  <sheetViews>
    <sheetView topLeftCell="A37" zoomScale="70" zoomScaleNormal="70" workbookViewId="0">
      <selection sqref="A1:H1"/>
    </sheetView>
  </sheetViews>
  <sheetFormatPr baseColWidth="10" defaultRowHeight="18.75"/>
  <cols>
    <col min="1" max="1" width="53.5703125" style="7" bestFit="1" customWidth="1"/>
    <col min="2" max="2" width="13.28515625" style="10" bestFit="1" customWidth="1"/>
    <col min="3" max="3" width="15.7109375" style="46" bestFit="1" customWidth="1"/>
    <col min="4" max="4" width="10.85546875" style="10" bestFit="1" customWidth="1"/>
    <col min="5" max="5" width="4.28515625" style="7" bestFit="1" customWidth="1"/>
    <col min="6" max="16384" width="11.42578125" style="7"/>
  </cols>
  <sheetData>
    <row r="1" spans="1:5" ht="19.5">
      <c r="A1" s="195" t="str">
        <f>JUV!A1</f>
        <v>2° TORNEO VIRTUAL</v>
      </c>
      <c r="B1" s="195"/>
      <c r="C1" s="195"/>
      <c r="D1" s="195"/>
      <c r="E1" s="31"/>
    </row>
    <row r="2" spans="1:5" ht="19.5">
      <c r="A2" s="195" t="str">
        <f>JUV!A2</f>
        <v>CLUBES DE LA FEDERACION</v>
      </c>
      <c r="B2" s="195"/>
      <c r="C2" s="195"/>
      <c r="D2" s="195"/>
      <c r="E2" s="31"/>
    </row>
    <row r="3" spans="1:5" ht="19.5">
      <c r="A3" s="195" t="str">
        <f>JUV!A3</f>
        <v>FEDERACION REGIONAL DE GOLF MAR Y SIERRAS</v>
      </c>
      <c r="B3" s="195"/>
      <c r="C3" s="195"/>
      <c r="D3" s="195"/>
      <c r="E3" s="31"/>
    </row>
    <row r="4" spans="1:5" ht="19.5">
      <c r="A4" s="197" t="s">
        <v>12</v>
      </c>
      <c r="B4" s="197"/>
      <c r="C4" s="197"/>
      <c r="D4" s="197"/>
      <c r="E4" s="31"/>
    </row>
    <row r="5" spans="1:5" ht="19.5">
      <c r="A5" s="195" t="s">
        <v>14</v>
      </c>
      <c r="B5" s="195"/>
      <c r="C5" s="195"/>
      <c r="D5" s="195"/>
      <c r="E5" s="31"/>
    </row>
    <row r="6" spans="1:5" ht="19.5">
      <c r="A6" s="195" t="str">
        <f>JUV!A6</f>
        <v>10  AL 13 DE OCTUBRE DE 2020</v>
      </c>
      <c r="B6" s="195"/>
      <c r="C6" s="195"/>
      <c r="D6" s="195"/>
      <c r="E6" s="31"/>
    </row>
    <row r="7" spans="1:5" ht="20.25" thickBot="1">
      <c r="A7" s="34"/>
      <c r="B7" s="34"/>
      <c r="C7" s="34"/>
      <c r="D7" s="34"/>
      <c r="E7" s="31"/>
    </row>
    <row r="8" spans="1:5" ht="20.25" thickBot="1">
      <c r="A8" s="198" t="str">
        <f>ALBATROS!A33</f>
        <v>ALBATROS - DAMAS CLASES 07 - 08 -</v>
      </c>
      <c r="B8" s="201"/>
      <c r="C8" s="201"/>
      <c r="D8" s="200"/>
      <c r="E8" s="31"/>
    </row>
    <row r="9" spans="1:5" s="34" customFormat="1" ht="20.25" thickBot="1">
      <c r="A9" s="32" t="s">
        <v>6</v>
      </c>
      <c r="B9" s="9" t="s">
        <v>9</v>
      </c>
      <c r="C9" s="35" t="s">
        <v>19</v>
      </c>
      <c r="D9" s="33" t="s">
        <v>8</v>
      </c>
      <c r="E9" s="31"/>
    </row>
    <row r="10" spans="1:5" ht="19.5">
      <c r="A10" s="36" t="str">
        <f>ALBATROS!A35</f>
        <v>RANGO ISABELLA</v>
      </c>
      <c r="B10" s="37" t="str">
        <f>ALBATROS!B35</f>
        <v>CMDP</v>
      </c>
      <c r="C10" s="38">
        <f>ALBATROS!C35</f>
        <v>39451</v>
      </c>
      <c r="D10" s="39">
        <f>ALBATROS!D35</f>
        <v>55</v>
      </c>
      <c r="E10" s="31"/>
    </row>
    <row r="11" spans="1:5" ht="19.5">
      <c r="A11" s="40" t="str">
        <f>ALBATROS!A36</f>
        <v>MUGURUZA SOL</v>
      </c>
      <c r="B11" s="41" t="str">
        <f>ALBATROS!B36</f>
        <v>MDPGC</v>
      </c>
      <c r="C11" s="42">
        <f>ALBATROS!C36</f>
        <v>39142</v>
      </c>
      <c r="D11" s="43">
        <f>ALBATROS!D36</f>
        <v>57</v>
      </c>
      <c r="E11" s="31"/>
    </row>
    <row r="12" spans="1:5" ht="19.5" thickBot="1">
      <c r="B12" s="7"/>
      <c r="C12" s="44"/>
      <c r="D12" s="7"/>
      <c r="E12" s="31"/>
    </row>
    <row r="13" spans="1:5" ht="20.25" thickBot="1">
      <c r="A13" s="198" t="str">
        <f>ALBATROS!A9</f>
        <v>ALBATROS - CABALLEROS CLASES 07 - 08 -</v>
      </c>
      <c r="B13" s="199"/>
      <c r="C13" s="199"/>
      <c r="D13" s="200"/>
      <c r="E13" s="31"/>
    </row>
    <row r="14" spans="1:5" ht="20.25" thickBot="1">
      <c r="A14" s="9" t="s">
        <v>0</v>
      </c>
      <c r="B14" s="9" t="s">
        <v>9</v>
      </c>
      <c r="C14" s="35" t="s">
        <v>19</v>
      </c>
      <c r="D14" s="9" t="s">
        <v>8</v>
      </c>
      <c r="E14" s="31"/>
    </row>
    <row r="15" spans="1:5" ht="19.5">
      <c r="A15" s="36" t="str">
        <f>ALBATROS!A11</f>
        <v>SULPIS SEGUNDO</v>
      </c>
      <c r="B15" s="37" t="str">
        <f>ALBATROS!B11</f>
        <v>TGC</v>
      </c>
      <c r="C15" s="38">
        <f>ALBATROS!C11</f>
        <v>39104</v>
      </c>
      <c r="D15" s="39">
        <f>ALBATROS!D11</f>
        <v>43</v>
      </c>
      <c r="E15" s="31"/>
    </row>
    <row r="16" spans="1:5" ht="19.5">
      <c r="A16" s="40" t="str">
        <f>ALBATROS!A12</f>
        <v>COPPOLA FRANCO</v>
      </c>
      <c r="B16" s="41" t="str">
        <f>ALBATROS!B12</f>
        <v>STGC</v>
      </c>
      <c r="C16" s="42">
        <f>ALBATROS!C12</f>
        <v>39593</v>
      </c>
      <c r="D16" s="43">
        <f>ALBATROS!D12</f>
        <v>46</v>
      </c>
      <c r="E16" s="31"/>
    </row>
    <row r="17" spans="1:5" ht="19.5" thickBot="1">
      <c r="B17" s="7"/>
      <c r="C17" s="44"/>
      <c r="D17" s="7"/>
      <c r="E17" s="31"/>
    </row>
    <row r="18" spans="1:5" ht="20.25" thickBot="1">
      <c r="A18" s="198" t="str">
        <f>EAGLES!A35</f>
        <v>EAGLES - DAMAS CLASES 09 - 10 -</v>
      </c>
      <c r="B18" s="199"/>
      <c r="C18" s="199"/>
      <c r="D18" s="200"/>
      <c r="E18" s="31"/>
    </row>
    <row r="19" spans="1:5" s="34" customFormat="1" ht="20.25" thickBot="1">
      <c r="A19" s="9" t="s">
        <v>6</v>
      </c>
      <c r="B19" s="9" t="s">
        <v>9</v>
      </c>
      <c r="C19" s="35" t="s">
        <v>19</v>
      </c>
      <c r="D19" s="9" t="s">
        <v>8</v>
      </c>
      <c r="E19" s="31"/>
    </row>
    <row r="20" spans="1:5" ht="19.5">
      <c r="A20" s="36" t="str">
        <f>EAGLES!A37</f>
        <v>DEPREZ UMMA</v>
      </c>
      <c r="B20" s="37" t="str">
        <f>EAGLES!B37</f>
        <v>SPGC</v>
      </c>
      <c r="C20" s="38">
        <f>EAGLES!C37</f>
        <v>39932</v>
      </c>
      <c r="D20" s="39">
        <f>EAGLES!D37</f>
        <v>44</v>
      </c>
      <c r="E20" s="31"/>
    </row>
    <row r="21" spans="1:5" ht="19.5">
      <c r="A21" s="40" t="str">
        <f>EAGLES!A38</f>
        <v>JENKINS UMA</v>
      </c>
      <c r="B21" s="41" t="str">
        <f>EAGLES!B38</f>
        <v>MDPGC</v>
      </c>
      <c r="C21" s="42">
        <f>EAGLES!C38</f>
        <v>40439</v>
      </c>
      <c r="D21" s="43">
        <f>EAGLES!D38</f>
        <v>47</v>
      </c>
      <c r="E21" s="31"/>
    </row>
    <row r="22" spans="1:5" ht="19.5" thickBot="1">
      <c r="B22" s="7"/>
      <c r="C22" s="44"/>
      <c r="D22" s="7"/>
      <c r="E22" s="31"/>
    </row>
    <row r="23" spans="1:5" ht="20.25" thickBot="1">
      <c r="A23" s="198" t="str">
        <f>EAGLES!A8</f>
        <v>EAGLES - CABALLEROS CLASES 09 - 10 -</v>
      </c>
      <c r="B23" s="199"/>
      <c r="C23" s="199"/>
      <c r="D23" s="200"/>
      <c r="E23" s="31"/>
    </row>
    <row r="24" spans="1:5" ht="20.25" thickBot="1">
      <c r="A24" s="9" t="s">
        <v>0</v>
      </c>
      <c r="B24" s="9" t="s">
        <v>9</v>
      </c>
      <c r="C24" s="35" t="s">
        <v>19</v>
      </c>
      <c r="D24" s="9" t="s">
        <v>8</v>
      </c>
      <c r="E24" s="31"/>
    </row>
    <row r="25" spans="1:5" ht="19.5">
      <c r="A25" s="36" t="str">
        <f>EAGLES!A10</f>
        <v>PORTIS SANTIAGO</v>
      </c>
      <c r="B25" s="37" t="str">
        <f>EAGLES!B10</f>
        <v>CMDP</v>
      </c>
      <c r="C25" s="38">
        <f>EAGLES!C10</f>
        <v>40175</v>
      </c>
      <c r="D25" s="39">
        <f>EAGLES!D10</f>
        <v>41</v>
      </c>
      <c r="E25" s="31"/>
    </row>
    <row r="26" spans="1:5" ht="19.5">
      <c r="A26" s="40" t="str">
        <f>EAGLES!A11</f>
        <v>GALOPPO SANTINO</v>
      </c>
      <c r="B26" s="41" t="str">
        <f>EAGLES!B11</f>
        <v>CMDP</v>
      </c>
      <c r="C26" s="42">
        <f>EAGLES!C11</f>
        <v>40280</v>
      </c>
      <c r="D26" s="43">
        <f>EAGLES!D11</f>
        <v>48</v>
      </c>
      <c r="E26" s="31"/>
    </row>
    <row r="27" spans="1:5" ht="19.5" thickBot="1">
      <c r="B27" s="7"/>
      <c r="C27" s="44"/>
      <c r="D27" s="7"/>
      <c r="E27" s="31"/>
    </row>
    <row r="28" spans="1:5" ht="20.25" thickBot="1">
      <c r="A28" s="198" t="str">
        <f>BIRDIES!A8</f>
        <v>BIRDIES - CABALLEROS CLASES 11 Y POSTERIORES -</v>
      </c>
      <c r="B28" s="199"/>
      <c r="C28" s="199"/>
      <c r="D28" s="200"/>
      <c r="E28" s="31"/>
    </row>
    <row r="29" spans="1:5" ht="20.25" thickBot="1">
      <c r="A29" s="4" t="s">
        <v>0</v>
      </c>
      <c r="B29" s="4" t="s">
        <v>9</v>
      </c>
      <c r="C29" s="35" t="s">
        <v>19</v>
      </c>
      <c r="D29" s="4" t="s">
        <v>8</v>
      </c>
      <c r="E29" s="31"/>
    </row>
    <row r="30" spans="1:5" ht="19.5">
      <c r="A30" s="36" t="str">
        <f>BIRDIES!A10</f>
        <v>CRUZ AGUSTO</v>
      </c>
      <c r="B30" s="37" t="str">
        <f>BIRDIES!B10</f>
        <v>EVTGC</v>
      </c>
      <c r="C30" s="38">
        <f>BIRDIES!C10</f>
        <v>40766</v>
      </c>
      <c r="D30" s="39">
        <f>BIRDIES!D10</f>
        <v>47</v>
      </c>
      <c r="E30" s="31"/>
    </row>
    <row r="31" spans="1:5" ht="19.5">
      <c r="A31" s="40" t="str">
        <f>BIRDIES!A11</f>
        <v>BENEITO BENJAMIN</v>
      </c>
      <c r="B31" s="41" t="str">
        <f>BIRDIES!B11</f>
        <v>MDPGC</v>
      </c>
      <c r="C31" s="42">
        <f>BIRDIES!C11</f>
        <v>41383</v>
      </c>
      <c r="D31" s="43">
        <f>BIRDIES!D11</f>
        <v>49</v>
      </c>
      <c r="E31" s="31"/>
    </row>
    <row r="32" spans="1:5" ht="20.25" thickBot="1">
      <c r="A32" s="50"/>
      <c r="B32" s="51"/>
      <c r="C32" s="52"/>
      <c r="D32" s="49"/>
      <c r="E32" s="31"/>
    </row>
    <row r="33" spans="1:5" ht="20.25" thickBot="1">
      <c r="A33" s="198" t="str">
        <f>BIRDIES!A34</f>
        <v>BIRDIES - DAMAS CLASES 11 Y POSTERIORES -</v>
      </c>
      <c r="B33" s="199"/>
      <c r="C33" s="199"/>
      <c r="D33" s="200"/>
      <c r="E33" s="31"/>
    </row>
    <row r="34" spans="1:5" ht="20.25" thickBot="1">
      <c r="A34" s="4" t="s">
        <v>6</v>
      </c>
      <c r="B34" s="4" t="s">
        <v>9</v>
      </c>
      <c r="C34" s="35" t="s">
        <v>19</v>
      </c>
      <c r="D34" s="4" t="s">
        <v>8</v>
      </c>
      <c r="E34" s="31"/>
    </row>
    <row r="35" spans="1:5" ht="19.5">
      <c r="A35" s="36" t="str">
        <f>BIRDIES!A36</f>
        <v>BIONDELLI ALEGRA</v>
      </c>
      <c r="B35" s="37" t="str">
        <f>BIRDIES!B36</f>
        <v>SPGC</v>
      </c>
      <c r="C35" s="38">
        <f>BIRDIES!C36</f>
        <v>40616</v>
      </c>
      <c r="D35" s="39">
        <f>BIRDIES!D36</f>
        <v>55</v>
      </c>
      <c r="E35" s="31"/>
    </row>
    <row r="36" spans="1:5" ht="19.5">
      <c r="A36" s="40" t="str">
        <f>BIRDIES!A37</f>
        <v>MARTIN MILENA</v>
      </c>
      <c r="B36" s="41" t="str">
        <f>BIRDIES!B37</f>
        <v>CMDP</v>
      </c>
      <c r="C36" s="42">
        <f>BIRDIES!C37</f>
        <v>40984</v>
      </c>
      <c r="D36" s="43">
        <f>BIRDIES!D37</f>
        <v>58</v>
      </c>
      <c r="E36" s="31"/>
    </row>
    <row r="37" spans="1:5" ht="20.25" thickBot="1">
      <c r="A37" s="50"/>
      <c r="B37" s="51"/>
      <c r="C37" s="52"/>
      <c r="D37" s="64"/>
      <c r="E37" s="31"/>
    </row>
    <row r="38" spans="1:5" ht="20.25" thickBot="1">
      <c r="A38" s="198" t="str">
        <f>PROMOCIONALES!A8</f>
        <v>CATEGORIA PROMOCIONALES A HCP.</v>
      </c>
      <c r="B38" s="199"/>
      <c r="C38" s="199"/>
      <c r="D38" s="200"/>
      <c r="E38" s="31"/>
    </row>
    <row r="39" spans="1:5" ht="20.25" thickBot="1">
      <c r="A39" s="4" t="s">
        <v>0</v>
      </c>
      <c r="B39" s="4" t="s">
        <v>9</v>
      </c>
      <c r="C39" s="35" t="s">
        <v>19</v>
      </c>
      <c r="D39" s="4" t="s">
        <v>8</v>
      </c>
      <c r="E39" s="31"/>
    </row>
    <row r="40" spans="1:5" ht="19.5">
      <c r="A40" s="36" t="str">
        <f>PROMOCIONALES!A10</f>
        <v>LI PUMA IGNACIO</v>
      </c>
      <c r="B40" s="37" t="str">
        <f>PROMOCIONALES!B10</f>
        <v>MDPGC</v>
      </c>
      <c r="C40" s="38">
        <f>PROMOCIONALES!C10</f>
        <v>37971</v>
      </c>
      <c r="D40" s="39">
        <f>PROMOCIONALES!D10</f>
        <v>51</v>
      </c>
      <c r="E40" s="31"/>
    </row>
    <row r="41" spans="1:5" ht="20.25" thickBot="1">
      <c r="A41" s="60" t="str">
        <f>PROMOCIONALES!A11</f>
        <v>DATOLA SANTINO</v>
      </c>
      <c r="B41" s="58" t="str">
        <f>PROMOCIONALES!B11</f>
        <v>TGC</v>
      </c>
      <c r="C41" s="59">
        <f>PROMOCIONALES!C11</f>
        <v>38937</v>
      </c>
      <c r="D41" s="61">
        <f>PROMOCIONALES!D11</f>
        <v>52</v>
      </c>
      <c r="E41" s="31"/>
    </row>
    <row r="42" spans="1:5" ht="20.25" thickBot="1">
      <c r="A42" s="50"/>
      <c r="B42" s="51"/>
      <c r="C42" s="52"/>
      <c r="D42" s="49"/>
      <c r="E42" s="31"/>
    </row>
    <row r="43" spans="1:5" ht="20.25" thickBot="1">
      <c r="A43" s="198" t="s">
        <v>13</v>
      </c>
      <c r="B43" s="199"/>
      <c r="C43" s="199"/>
      <c r="D43" s="200"/>
      <c r="E43" s="31"/>
    </row>
    <row r="44" spans="1:5" ht="20.25" thickBot="1">
      <c r="A44" s="4" t="s">
        <v>0</v>
      </c>
      <c r="B44" s="4" t="s">
        <v>9</v>
      </c>
      <c r="C44" s="45" t="s">
        <v>10</v>
      </c>
      <c r="D44" s="4" t="s">
        <v>22</v>
      </c>
      <c r="E44" s="31"/>
    </row>
    <row r="45" spans="1:5" ht="19.5">
      <c r="A45" s="40" t="str">
        <f>'5 H Y H.A. Y GGII'!A10</f>
        <v>JUAREZ BENJAMIN</v>
      </c>
      <c r="B45" s="41" t="str">
        <f>'5 H Y H.A. Y GGII'!B10</f>
        <v>TGC</v>
      </c>
      <c r="C45" s="42" t="s">
        <v>10</v>
      </c>
      <c r="D45" s="43">
        <f>'5 H Y H.A. Y GGII'!C10</f>
        <v>25</v>
      </c>
      <c r="E45" s="31"/>
    </row>
    <row r="46" spans="1:5" ht="19.5">
      <c r="A46" s="40" t="str">
        <f>'5 H Y H.A. Y GGII'!A11</f>
        <v>MAOURELOS IGNACIO</v>
      </c>
      <c r="B46" s="41" t="str">
        <f>'5 H Y H.A. Y GGII'!B11</f>
        <v>EVTGC</v>
      </c>
      <c r="C46" s="42" t="s">
        <v>10</v>
      </c>
      <c r="D46" s="43">
        <f>'5 H Y H.A. Y GGII'!C11</f>
        <v>25</v>
      </c>
      <c r="E46" s="31"/>
    </row>
    <row r="47" spans="1:5" ht="19.5">
      <c r="A47" s="40" t="str">
        <f>'5 H Y H.A. Y GGII'!A12</f>
        <v>RODRIGUEZ MACIAS HILARIO</v>
      </c>
      <c r="B47" s="41" t="str">
        <f>'5 H Y H.A. Y GGII'!B12</f>
        <v>CMDP</v>
      </c>
      <c r="C47" s="42" t="s">
        <v>10</v>
      </c>
      <c r="D47" s="43">
        <f>'5 H Y H.A. Y GGII'!C12</f>
        <v>26</v>
      </c>
      <c r="E47" s="31"/>
    </row>
    <row r="48" spans="1:5" ht="19.5">
      <c r="A48" s="40" t="str">
        <f>'5 H Y H.A. Y GGII'!A13</f>
        <v>MUNGIELLO ANA LUZ</v>
      </c>
      <c r="B48" s="41" t="str">
        <f>'5 H Y H.A. Y GGII'!B13</f>
        <v>STGC</v>
      </c>
      <c r="C48" s="42" t="s">
        <v>10</v>
      </c>
      <c r="D48" s="43">
        <f>'5 H Y H.A. Y GGII'!C13</f>
        <v>27</v>
      </c>
      <c r="E48" s="31"/>
    </row>
    <row r="49" spans="1:5" ht="19.5">
      <c r="A49" s="40" t="str">
        <f>'5 H Y H.A. Y GGII'!A14</f>
        <v>BENICIO VINART</v>
      </c>
      <c r="B49" s="41" t="str">
        <f>'5 H Y H.A. Y GGII'!B14</f>
        <v>MDPGC</v>
      </c>
      <c r="C49" s="42" t="s">
        <v>10</v>
      </c>
      <c r="D49" s="43">
        <f>'5 H Y H.A. Y GGII'!C14</f>
        <v>28</v>
      </c>
      <c r="E49" s="31"/>
    </row>
    <row r="50" spans="1:5" ht="19.5">
      <c r="A50" s="40" t="str">
        <f>'5 H Y H.A. Y GGII'!A15</f>
        <v>ALEMAN BENJAMIN</v>
      </c>
      <c r="B50" s="41" t="str">
        <f>'5 H Y H.A. Y GGII'!B15</f>
        <v>TGC</v>
      </c>
      <c r="C50" s="42" t="s">
        <v>10</v>
      </c>
      <c r="D50" s="43">
        <f>'5 H Y H.A. Y GGII'!C15</f>
        <v>29</v>
      </c>
      <c r="E50" s="31"/>
    </row>
    <row r="51" spans="1:5" ht="19.5">
      <c r="A51" s="40" t="str">
        <f>'5 H Y H.A. Y GGII'!A16</f>
        <v>MURILLO JOAQUIN</v>
      </c>
      <c r="B51" s="41" t="str">
        <f>'5 H Y H.A. Y GGII'!B16</f>
        <v>EVTGC</v>
      </c>
      <c r="C51" s="42" t="s">
        <v>10</v>
      </c>
      <c r="D51" s="43">
        <f>'5 H Y H.A. Y GGII'!C16</f>
        <v>29</v>
      </c>
      <c r="E51" s="31"/>
    </row>
    <row r="52" spans="1:5" ht="19.5">
      <c r="A52" s="40" t="str">
        <f>'5 H Y H.A. Y GGII'!A17</f>
        <v>BALMACEDA SANTIAGO</v>
      </c>
      <c r="B52" s="41" t="str">
        <f>'5 H Y H.A. Y GGII'!B17</f>
        <v>STGC</v>
      </c>
      <c r="C52" s="42" t="s">
        <v>10</v>
      </c>
      <c r="D52" s="43">
        <f>'5 H Y H.A. Y GGII'!C17</f>
        <v>29</v>
      </c>
      <c r="E52" s="31"/>
    </row>
    <row r="53" spans="1:5" ht="19.5">
      <c r="A53" s="40" t="str">
        <f>'5 H Y H.A. Y GGII'!A18</f>
        <v>CEJAS FEDERICO</v>
      </c>
      <c r="B53" s="41" t="str">
        <f>'5 H Y H.A. Y GGII'!B18</f>
        <v>STGC</v>
      </c>
      <c r="C53" s="42" t="s">
        <v>10</v>
      </c>
      <c r="D53" s="43">
        <f>'5 H Y H.A. Y GGII'!C18</f>
        <v>30</v>
      </c>
      <c r="E53" s="31"/>
    </row>
    <row r="54" spans="1:5" ht="19.5">
      <c r="A54" s="40" t="str">
        <f>'5 H Y H.A. Y GGII'!A19</f>
        <v>MASSON LUCIA</v>
      </c>
      <c r="B54" s="41" t="str">
        <f>'5 H Y H.A. Y GGII'!B19</f>
        <v>STGC</v>
      </c>
      <c r="C54" s="42" t="s">
        <v>10</v>
      </c>
      <c r="D54" s="43">
        <f>'5 H Y H.A. Y GGII'!C19</f>
        <v>30</v>
      </c>
      <c r="E54" s="31"/>
    </row>
    <row r="55" spans="1:5" ht="19.5">
      <c r="A55" s="40" t="str">
        <f>'5 H Y H.A. Y GGII'!A20</f>
        <v>RENDO GUADALUPE</v>
      </c>
      <c r="B55" s="41" t="str">
        <f>'5 H Y H.A. Y GGII'!B20</f>
        <v>NGC</v>
      </c>
      <c r="C55" s="42" t="s">
        <v>10</v>
      </c>
      <c r="D55" s="43">
        <f>'5 H Y H.A. Y GGII'!C20</f>
        <v>30</v>
      </c>
      <c r="E55" s="31"/>
    </row>
    <row r="56" spans="1:5" ht="19.5">
      <c r="A56" s="40" t="str">
        <f>'5 H Y H.A. Y GGII'!A21</f>
        <v>HOPE CRISTOBAL</v>
      </c>
      <c r="B56" s="41" t="str">
        <f>'5 H Y H.A. Y GGII'!B21</f>
        <v>TGC</v>
      </c>
      <c r="C56" s="42" t="s">
        <v>10</v>
      </c>
      <c r="D56" s="43">
        <f>'5 H Y H.A. Y GGII'!C21</f>
        <v>31</v>
      </c>
      <c r="E56" s="31"/>
    </row>
    <row r="57" spans="1:5" ht="19.5">
      <c r="A57" s="40" t="str">
        <f>'5 H Y H.A. Y GGII'!A22</f>
        <v>CAMILO LATORRACA</v>
      </c>
      <c r="B57" s="41" t="str">
        <f>'5 H Y H.A. Y GGII'!B22</f>
        <v>NGC</v>
      </c>
      <c r="C57" s="42" t="s">
        <v>10</v>
      </c>
      <c r="D57" s="43">
        <f>'5 H Y H.A. Y GGII'!C22</f>
        <v>31</v>
      </c>
      <c r="E57" s="31"/>
    </row>
    <row r="58" spans="1:5" ht="19.5">
      <c r="A58" s="40" t="str">
        <f>'5 H Y H.A. Y GGII'!A23</f>
        <v>PICABEA IGNACIO</v>
      </c>
      <c r="B58" s="41" t="str">
        <f>'5 H Y H.A. Y GGII'!B23</f>
        <v>TGC</v>
      </c>
      <c r="C58" s="42" t="s">
        <v>10</v>
      </c>
      <c r="D58" s="43">
        <f>'5 H Y H.A. Y GGII'!C23</f>
        <v>32</v>
      </c>
      <c r="E58" s="31"/>
    </row>
    <row r="59" spans="1:5" ht="19.5">
      <c r="A59" s="40" t="str">
        <f>'5 H Y H.A. Y GGII'!A24</f>
        <v>GADEA BENJAMIN</v>
      </c>
      <c r="B59" s="41" t="str">
        <f>'5 H Y H.A. Y GGII'!B24</f>
        <v>STGC</v>
      </c>
      <c r="C59" s="42" t="s">
        <v>10</v>
      </c>
      <c r="D59" s="43">
        <f>'5 H Y H.A. Y GGII'!C24</f>
        <v>32</v>
      </c>
      <c r="E59" s="31"/>
    </row>
    <row r="60" spans="1:5" ht="19.5">
      <c r="A60" s="40" t="str">
        <f>'5 H Y H.A. Y GGII'!A25</f>
        <v>SIMON CAMAÑO</v>
      </c>
      <c r="B60" s="41" t="str">
        <f>'5 H Y H.A. Y GGII'!B25</f>
        <v>MDPGC</v>
      </c>
      <c r="C60" s="42" t="s">
        <v>10</v>
      </c>
      <c r="D60" s="43">
        <f>'5 H Y H.A. Y GGII'!C25</f>
        <v>33</v>
      </c>
      <c r="E60" s="31"/>
    </row>
    <row r="61" spans="1:5" ht="19.5">
      <c r="A61" s="40" t="str">
        <f>'5 H Y H.A. Y GGII'!A26</f>
        <v>MILO VINART</v>
      </c>
      <c r="B61" s="41" t="str">
        <f>'5 H Y H.A. Y GGII'!B26</f>
        <v>MDPGC</v>
      </c>
      <c r="C61" s="42" t="s">
        <v>10</v>
      </c>
      <c r="D61" s="43">
        <f>'5 H Y H.A. Y GGII'!C26</f>
        <v>33</v>
      </c>
      <c r="E61" s="31"/>
    </row>
    <row r="62" spans="1:5" ht="19.5">
      <c r="A62" s="40" t="str">
        <f>'5 H Y H.A. Y GGII'!A27</f>
        <v>VIRAG MATTIA</v>
      </c>
      <c r="B62" s="41" t="str">
        <f>'5 H Y H.A. Y GGII'!B27</f>
        <v>STGC</v>
      </c>
      <c r="C62" s="42" t="s">
        <v>10</v>
      </c>
      <c r="D62" s="43">
        <f>'5 H Y H.A. Y GGII'!C27</f>
        <v>33</v>
      </c>
      <c r="E62" s="31"/>
    </row>
    <row r="63" spans="1:5" ht="19.5">
      <c r="A63" s="40" t="str">
        <f>'5 H Y H.A. Y GGII'!A28</f>
        <v>ESMERALDA CANELLI</v>
      </c>
      <c r="B63" s="41" t="str">
        <f>'5 H Y H.A. Y GGII'!B28</f>
        <v>NGC</v>
      </c>
      <c r="C63" s="42" t="s">
        <v>10</v>
      </c>
      <c r="D63" s="43">
        <f>'5 H Y H.A. Y GGII'!C28</f>
        <v>33</v>
      </c>
      <c r="E63" s="31"/>
    </row>
    <row r="64" spans="1:5" ht="19.5">
      <c r="A64" s="40" t="str">
        <f>'5 H Y H.A. Y GGII'!A29</f>
        <v>BAUTISTA FERRARO</v>
      </c>
      <c r="B64" s="41" t="str">
        <f>'5 H Y H.A. Y GGII'!B29</f>
        <v>NGC</v>
      </c>
      <c r="C64" s="42" t="s">
        <v>10</v>
      </c>
      <c r="D64" s="43">
        <f>'5 H Y H.A. Y GGII'!C29</f>
        <v>33</v>
      </c>
      <c r="E64" s="31"/>
    </row>
    <row r="65" spans="1:5" ht="19.5">
      <c r="A65" s="40" t="str">
        <f>'5 H Y H.A. Y GGII'!A30</f>
        <v>HELLMUND CAMILO</v>
      </c>
      <c r="B65" s="41" t="str">
        <f>'5 H Y H.A. Y GGII'!B30</f>
        <v>TGC</v>
      </c>
      <c r="C65" s="42" t="s">
        <v>10</v>
      </c>
      <c r="D65" s="43">
        <f>'5 H Y H.A. Y GGII'!C30</f>
        <v>34</v>
      </c>
      <c r="E65" s="31"/>
    </row>
    <row r="66" spans="1:5" ht="19.5">
      <c r="A66" s="40" t="str">
        <f>'5 H Y H.A. Y GGII'!A31</f>
        <v>GERINO RENATO</v>
      </c>
      <c r="B66" s="41" t="str">
        <f>'5 H Y H.A. Y GGII'!B31</f>
        <v>EVTGC</v>
      </c>
      <c r="C66" s="42" t="s">
        <v>10</v>
      </c>
      <c r="D66" s="43">
        <f>'5 H Y H.A. Y GGII'!C31</f>
        <v>34</v>
      </c>
      <c r="E66" s="31"/>
    </row>
    <row r="67" spans="1:5" ht="19.5">
      <c r="A67" s="40" t="str">
        <f>'5 H Y H.A. Y GGII'!A32</f>
        <v>MEDINILLA MANUEL</v>
      </c>
      <c r="B67" s="41" t="str">
        <f>'5 H Y H.A. Y GGII'!B32</f>
        <v>CMDP</v>
      </c>
      <c r="C67" s="42" t="s">
        <v>10</v>
      </c>
      <c r="D67" s="43">
        <f>'5 H Y H.A. Y GGII'!C32</f>
        <v>34</v>
      </c>
      <c r="E67" s="31"/>
    </row>
    <row r="68" spans="1:5" ht="19.5">
      <c r="A68" s="40" t="str">
        <f>'5 H Y H.A. Y GGII'!A33</f>
        <v>ECHEGOYEN JAIME</v>
      </c>
      <c r="B68" s="41" t="str">
        <f>'5 H Y H.A. Y GGII'!B33</f>
        <v>SPGC</v>
      </c>
      <c r="C68" s="42" t="s">
        <v>10</v>
      </c>
      <c r="D68" s="43">
        <f>'5 H Y H.A. Y GGII'!C33</f>
        <v>34</v>
      </c>
      <c r="E68" s="31"/>
    </row>
    <row r="69" spans="1:5" ht="19.5">
      <c r="A69" s="40" t="str">
        <f>'5 H Y H.A. Y GGII'!A34</f>
        <v>PEREZ AMBAR</v>
      </c>
      <c r="B69" s="41" t="str">
        <f>'5 H Y H.A. Y GGII'!B34</f>
        <v>STGC</v>
      </c>
      <c r="C69" s="42" t="s">
        <v>10</v>
      </c>
      <c r="D69" s="43">
        <f>'5 H Y H.A. Y GGII'!C34</f>
        <v>34</v>
      </c>
      <c r="E69" s="31"/>
    </row>
    <row r="70" spans="1:5" ht="19.5">
      <c r="A70" s="40" t="str">
        <f>'5 H Y H.A. Y GGII'!A35</f>
        <v>GUTIERREZ PEDRO</v>
      </c>
      <c r="B70" s="41" t="str">
        <f>'5 H Y H.A. Y GGII'!B35</f>
        <v>NGC</v>
      </c>
      <c r="C70" s="42" t="s">
        <v>10</v>
      </c>
      <c r="D70" s="43">
        <f>'5 H Y H.A. Y GGII'!C35</f>
        <v>34</v>
      </c>
      <c r="E70" s="31"/>
    </row>
    <row r="71" spans="1:5" ht="19.5">
      <c r="A71" s="40" t="str">
        <f>'5 H Y H.A. Y GGII'!A36</f>
        <v>ALFAYA SIMON</v>
      </c>
      <c r="B71" s="41" t="str">
        <f>'5 H Y H.A. Y GGII'!B36</f>
        <v>TGC</v>
      </c>
      <c r="C71" s="42" t="s">
        <v>10</v>
      </c>
      <c r="D71" s="43">
        <f>'5 H Y H.A. Y GGII'!C36</f>
        <v>35</v>
      </c>
      <c r="E71" s="31"/>
    </row>
    <row r="72" spans="1:5" ht="19.5">
      <c r="A72" s="40" t="str">
        <f>'5 H Y H.A. Y GGII'!A37</f>
        <v>ABETTE GASPAR</v>
      </c>
      <c r="B72" s="41" t="str">
        <f>'5 H Y H.A. Y GGII'!B37</f>
        <v>TGC</v>
      </c>
      <c r="C72" s="42" t="s">
        <v>10</v>
      </c>
      <c r="D72" s="43">
        <f>'5 H Y H.A. Y GGII'!C37</f>
        <v>35</v>
      </c>
      <c r="E72" s="31"/>
    </row>
    <row r="73" spans="1:5" ht="19.5">
      <c r="A73" s="40" t="str">
        <f>'5 H Y H.A. Y GGII'!A38</f>
        <v>BERROETA SEGUNDO</v>
      </c>
      <c r="B73" s="41" t="str">
        <f>'5 H Y H.A. Y GGII'!B38</f>
        <v>TGC</v>
      </c>
      <c r="C73" s="42" t="s">
        <v>10</v>
      </c>
      <c r="D73" s="43">
        <f>'5 H Y H.A. Y GGII'!C38</f>
        <v>35</v>
      </c>
      <c r="E73" s="31"/>
    </row>
    <row r="74" spans="1:5" ht="19.5">
      <c r="A74" s="40" t="str">
        <f>'5 H Y H.A. Y GGII'!A39</f>
        <v>FARHA ALBERTINA</v>
      </c>
      <c r="B74" s="41" t="str">
        <f>'5 H Y H.A. Y GGII'!B39</f>
        <v>EVTGC</v>
      </c>
      <c r="C74" s="42" t="s">
        <v>10</v>
      </c>
      <c r="D74" s="43">
        <f>'5 H Y H.A. Y GGII'!C39</f>
        <v>35</v>
      </c>
      <c r="E74" s="31"/>
    </row>
    <row r="75" spans="1:5" ht="19.5">
      <c r="A75" s="40" t="str">
        <f>'5 H Y H.A. Y GGII'!A40</f>
        <v>JARQUE VIOLETA</v>
      </c>
      <c r="B75" s="41" t="str">
        <f>'5 H Y H.A. Y GGII'!B40</f>
        <v>EVTGC</v>
      </c>
      <c r="C75" s="42" t="s">
        <v>10</v>
      </c>
      <c r="D75" s="43">
        <f>'5 H Y H.A. Y GGII'!C40</f>
        <v>35</v>
      </c>
      <c r="E75" s="31"/>
    </row>
    <row r="76" spans="1:5" ht="19.5">
      <c r="A76" s="40" t="str">
        <f>'5 H Y H.A. Y GGII'!A41</f>
        <v>ASTESANO FERMIN</v>
      </c>
      <c r="B76" s="41" t="str">
        <f>'5 H Y H.A. Y GGII'!B41</f>
        <v>NGC</v>
      </c>
      <c r="C76" s="42" t="s">
        <v>10</v>
      </c>
      <c r="D76" s="43">
        <f>'5 H Y H.A. Y GGII'!C41</f>
        <v>35</v>
      </c>
      <c r="E76" s="31"/>
    </row>
    <row r="77" spans="1:5" ht="19.5">
      <c r="A77" s="40" t="str">
        <f>'5 H Y H.A. Y GGII'!A42</f>
        <v>PEREZ IMANOL</v>
      </c>
      <c r="B77" s="41" t="str">
        <f>'5 H Y H.A. Y GGII'!B42</f>
        <v>STGC</v>
      </c>
      <c r="C77" s="42" t="s">
        <v>10</v>
      </c>
      <c r="D77" s="43">
        <f>'5 H Y H.A. Y GGII'!C42</f>
        <v>36</v>
      </c>
      <c r="E77" s="31"/>
    </row>
    <row r="78" spans="1:5" ht="19.5">
      <c r="A78" s="40" t="str">
        <f>'5 H Y H.A. Y GGII'!A43</f>
        <v>JUSTINO DE PIERRO</v>
      </c>
      <c r="B78" s="41" t="str">
        <f>'5 H Y H.A. Y GGII'!B43</f>
        <v>NGC</v>
      </c>
      <c r="C78" s="42" t="s">
        <v>10</v>
      </c>
      <c r="D78" s="43">
        <f>'5 H Y H.A. Y GGII'!C43</f>
        <v>36</v>
      </c>
      <c r="E78" s="31"/>
    </row>
    <row r="79" spans="1:5" ht="19.5">
      <c r="A79" s="40" t="str">
        <f>'5 H Y H.A. Y GGII'!A44</f>
        <v>FERNANDEZ ELISA</v>
      </c>
      <c r="B79" s="41" t="str">
        <f>'5 H Y H.A. Y GGII'!B44</f>
        <v>NGC</v>
      </c>
      <c r="C79" s="42" t="s">
        <v>10</v>
      </c>
      <c r="D79" s="43">
        <f>'5 H Y H.A. Y GGII'!C44</f>
        <v>36</v>
      </c>
      <c r="E79" s="31"/>
    </row>
    <row r="80" spans="1:5" ht="19.5">
      <c r="A80" s="40" t="str">
        <f>'5 H Y H.A. Y GGII'!A45</f>
        <v>ABETTE DANTE</v>
      </c>
      <c r="B80" s="41" t="str">
        <f>'5 H Y H.A. Y GGII'!B45</f>
        <v>TGC</v>
      </c>
      <c r="C80" s="42" t="s">
        <v>10</v>
      </c>
      <c r="D80" s="43">
        <f>'5 H Y H.A. Y GGII'!C45</f>
        <v>37</v>
      </c>
      <c r="E80" s="31"/>
    </row>
    <row r="81" spans="1:5" ht="19.5">
      <c r="A81" s="40" t="str">
        <f>'5 H Y H.A. Y GGII'!A46</f>
        <v>PICABEA FERMIN</v>
      </c>
      <c r="B81" s="41" t="str">
        <f>'5 H Y H.A. Y GGII'!B46</f>
        <v>TGC</v>
      </c>
      <c r="C81" s="42" t="s">
        <v>10</v>
      </c>
      <c r="D81" s="43">
        <f>'5 H Y H.A. Y GGII'!C46</f>
        <v>37</v>
      </c>
      <c r="E81" s="31"/>
    </row>
    <row r="82" spans="1:5" ht="19.5">
      <c r="A82" s="40" t="str">
        <f>'5 H Y H.A. Y GGII'!A47</f>
        <v>FARHA JULIAN</v>
      </c>
      <c r="B82" s="41" t="str">
        <f>'5 H Y H.A. Y GGII'!B47</f>
        <v>EVTGC</v>
      </c>
      <c r="C82" s="42" t="s">
        <v>10</v>
      </c>
      <c r="D82" s="43">
        <f>'5 H Y H.A. Y GGII'!C47</f>
        <v>37</v>
      </c>
      <c r="E82" s="31"/>
    </row>
    <row r="83" spans="1:5" ht="19.5">
      <c r="A83" s="40" t="str">
        <f>'5 H Y H.A. Y GGII'!A48</f>
        <v>SALANUEVA JULIANA</v>
      </c>
      <c r="B83" s="41" t="str">
        <f>'5 H Y H.A. Y GGII'!B48</f>
        <v>EVTGC</v>
      </c>
      <c r="C83" s="42" t="s">
        <v>10</v>
      </c>
      <c r="D83" s="43">
        <f>'5 H Y H.A. Y GGII'!C48</f>
        <v>37</v>
      </c>
      <c r="E83" s="31"/>
    </row>
    <row r="84" spans="1:5" ht="19.5">
      <c r="A84" s="40" t="str">
        <f>'5 H Y H.A. Y GGII'!A49</f>
        <v>MORALES CRISTAL</v>
      </c>
      <c r="B84" s="41" t="str">
        <f>'5 H Y H.A. Y GGII'!B49</f>
        <v>STGC</v>
      </c>
      <c r="C84" s="42" t="s">
        <v>10</v>
      </c>
      <c r="D84" s="43">
        <f>'5 H Y H.A. Y GGII'!C49</f>
        <v>37</v>
      </c>
      <c r="E84" s="31"/>
    </row>
    <row r="85" spans="1:5" ht="19.5">
      <c r="A85" s="40" t="str">
        <f>'5 H Y H.A. Y GGII'!A50</f>
        <v>CERESETO ALVARO</v>
      </c>
      <c r="B85" s="41" t="str">
        <f>'5 H Y H.A. Y GGII'!B50</f>
        <v>TGC</v>
      </c>
      <c r="C85" s="42" t="s">
        <v>10</v>
      </c>
      <c r="D85" s="43">
        <f>'5 H Y H.A. Y GGII'!C50</f>
        <v>38</v>
      </c>
      <c r="E85" s="31"/>
    </row>
    <row r="86" spans="1:5" ht="19.5">
      <c r="A86" s="40" t="str">
        <f>'5 H Y H.A. Y GGII'!A51</f>
        <v>PROBICITO LOLA</v>
      </c>
      <c r="B86" s="41" t="str">
        <f>'5 H Y H.A. Y GGII'!B51</f>
        <v>TGC</v>
      </c>
      <c r="C86" s="42" t="s">
        <v>10</v>
      </c>
      <c r="D86" s="43">
        <f>'5 H Y H.A. Y GGII'!C51</f>
        <v>38</v>
      </c>
      <c r="E86" s="31"/>
    </row>
    <row r="87" spans="1:5" ht="19.5">
      <c r="A87" s="40" t="str">
        <f>'5 H Y H.A. Y GGII'!A52</f>
        <v>SANTINO VINART</v>
      </c>
      <c r="B87" s="41" t="str">
        <f>'5 H Y H.A. Y GGII'!B52</f>
        <v>MDPGC</v>
      </c>
      <c r="C87" s="42" t="s">
        <v>10</v>
      </c>
      <c r="D87" s="43">
        <f>'5 H Y H.A. Y GGII'!C52</f>
        <v>38</v>
      </c>
      <c r="E87" s="31"/>
    </row>
    <row r="88" spans="1:5" ht="19.5">
      <c r="A88" s="40" t="str">
        <f>'5 H Y H.A. Y GGII'!A53</f>
        <v>GAVIÑA FELIX</v>
      </c>
      <c r="B88" s="41" t="str">
        <f>'5 H Y H.A. Y GGII'!B53</f>
        <v>TGC</v>
      </c>
      <c r="C88" s="42" t="s">
        <v>10</v>
      </c>
      <c r="D88" s="43">
        <f>'5 H Y H.A. Y GGII'!C53</f>
        <v>39</v>
      </c>
      <c r="E88" s="31"/>
    </row>
    <row r="89" spans="1:5" ht="19.5">
      <c r="A89" s="40" t="str">
        <f>'5 H Y H.A. Y GGII'!A54</f>
        <v>VENACIO ANGELES</v>
      </c>
      <c r="B89" s="41" t="str">
        <f>'5 H Y H.A. Y GGII'!B54</f>
        <v>TGC</v>
      </c>
      <c r="C89" s="42" t="s">
        <v>10</v>
      </c>
      <c r="D89" s="43">
        <f>'5 H Y H.A. Y GGII'!C54</f>
        <v>39</v>
      </c>
      <c r="E89" s="31"/>
    </row>
    <row r="90" spans="1:5" ht="19.5">
      <c r="A90" s="40" t="str">
        <f>'5 H Y H.A. Y GGII'!A55</f>
        <v>MUNAR FELIX</v>
      </c>
      <c r="B90" s="41" t="str">
        <f>'5 H Y H.A. Y GGII'!B55</f>
        <v>TGC</v>
      </c>
      <c r="C90" s="42" t="s">
        <v>10</v>
      </c>
      <c r="D90" s="43">
        <f>'5 H Y H.A. Y GGII'!C55</f>
        <v>39</v>
      </c>
      <c r="E90" s="31"/>
    </row>
    <row r="91" spans="1:5" ht="19.5">
      <c r="A91" s="40" t="str">
        <f>'5 H Y H.A. Y GGII'!A56</f>
        <v>TRUEBA BENJAMIN</v>
      </c>
      <c r="B91" s="41" t="str">
        <f>'5 H Y H.A. Y GGII'!B56</f>
        <v>TGC</v>
      </c>
      <c r="C91" s="42" t="s">
        <v>10</v>
      </c>
      <c r="D91" s="43">
        <f>'5 H Y H.A. Y GGII'!C56</f>
        <v>39</v>
      </c>
      <c r="E91" s="31"/>
    </row>
    <row r="92" spans="1:5" ht="19.5">
      <c r="A92" s="40" t="str">
        <f>'5 H Y H.A. Y GGII'!A57</f>
        <v>SANTOYANNI JOQUIN</v>
      </c>
      <c r="B92" s="41" t="str">
        <f>'5 H Y H.A. Y GGII'!B57</f>
        <v>EVTGC</v>
      </c>
      <c r="C92" s="42" t="s">
        <v>10</v>
      </c>
      <c r="D92" s="43">
        <f>'5 H Y H.A. Y GGII'!C57</f>
        <v>39</v>
      </c>
      <c r="E92" s="31"/>
    </row>
    <row r="93" spans="1:5" ht="19.5">
      <c r="A93" s="40" t="str">
        <f>'5 H Y H.A. Y GGII'!A58</f>
        <v>JAUNARENA FACUNDO</v>
      </c>
      <c r="B93" s="41" t="str">
        <f>'5 H Y H.A. Y GGII'!B58</f>
        <v>STGC</v>
      </c>
      <c r="C93" s="42" t="s">
        <v>10</v>
      </c>
      <c r="D93" s="43">
        <f>'5 H Y H.A. Y GGII'!C58</f>
        <v>39</v>
      </c>
      <c r="E93" s="31"/>
    </row>
    <row r="94" spans="1:5" ht="19.5">
      <c r="A94" s="40" t="str">
        <f>'5 H Y H.A. Y GGII'!A59</f>
        <v>ESPINOLA JULIA</v>
      </c>
      <c r="B94" s="41" t="str">
        <f>'5 H Y H.A. Y GGII'!B59</f>
        <v>TGC</v>
      </c>
      <c r="C94" s="42" t="s">
        <v>10</v>
      </c>
      <c r="D94" s="43">
        <f>'5 H Y H.A. Y GGII'!C59</f>
        <v>40</v>
      </c>
      <c r="E94" s="31"/>
    </row>
    <row r="95" spans="1:5" ht="19.5">
      <c r="A95" s="40" t="str">
        <f>'5 H Y H.A. Y GGII'!A60</f>
        <v>SCOTTI ANNA</v>
      </c>
      <c r="B95" s="41" t="str">
        <f>'5 H Y H.A. Y GGII'!B60</f>
        <v>STGC</v>
      </c>
      <c r="C95" s="42" t="s">
        <v>10</v>
      </c>
      <c r="D95" s="43">
        <f>'5 H Y H.A. Y GGII'!C60</f>
        <v>40</v>
      </c>
      <c r="E95" s="31"/>
    </row>
    <row r="96" spans="1:5" ht="19.5">
      <c r="A96" s="40" t="str">
        <f>'5 H Y H.A. Y GGII'!A61</f>
        <v>DECESARE DANTE</v>
      </c>
      <c r="B96" s="41" t="str">
        <f>'5 H Y H.A. Y GGII'!B61</f>
        <v>STGC</v>
      </c>
      <c r="C96" s="42" t="s">
        <v>10</v>
      </c>
      <c r="D96" s="43">
        <f>'5 H Y H.A. Y GGII'!C61</f>
        <v>40</v>
      </c>
      <c r="E96" s="31"/>
    </row>
    <row r="97" spans="1:5" ht="19.5">
      <c r="A97" s="40" t="str">
        <f>'5 H Y H.A. Y GGII'!A62</f>
        <v>DE ZUBIZARRETA MATEO</v>
      </c>
      <c r="B97" s="41" t="str">
        <f>'5 H Y H.A. Y GGII'!B62</f>
        <v>TGC</v>
      </c>
      <c r="C97" s="42" t="s">
        <v>10</v>
      </c>
      <c r="D97" s="43">
        <f>'5 H Y H.A. Y GGII'!C62</f>
        <v>41</v>
      </c>
      <c r="E97" s="31"/>
    </row>
    <row r="98" spans="1:5" ht="19.5">
      <c r="A98" s="40" t="str">
        <f>'5 H Y H.A. Y GGII'!A63</f>
        <v>POMPONIO VALENTINO</v>
      </c>
      <c r="B98" s="41" t="str">
        <f>'5 H Y H.A. Y GGII'!B63</f>
        <v>CMDP</v>
      </c>
      <c r="C98" s="42" t="s">
        <v>10</v>
      </c>
      <c r="D98" s="43">
        <f>'5 H Y H.A. Y GGII'!C63</f>
        <v>41</v>
      </c>
      <c r="E98" s="31"/>
    </row>
    <row r="99" spans="1:5" ht="19.5">
      <c r="A99" s="40" t="str">
        <f>'5 H Y H.A. Y GGII'!A64</f>
        <v>ECHEGOYEN CIRILO</v>
      </c>
      <c r="B99" s="41" t="str">
        <f>'5 H Y H.A. Y GGII'!B64</f>
        <v>SPGC</v>
      </c>
      <c r="C99" s="42" t="s">
        <v>10</v>
      </c>
      <c r="D99" s="43">
        <f>'5 H Y H.A. Y GGII'!C64</f>
        <v>41</v>
      </c>
      <c r="E99" s="31"/>
    </row>
    <row r="100" spans="1:5" ht="19.5">
      <c r="A100" s="40" t="str">
        <f>'5 H Y H.A. Y GGII'!A65</f>
        <v>LERGA LIBORIO</v>
      </c>
      <c r="B100" s="41" t="str">
        <f>'5 H Y H.A. Y GGII'!B65</f>
        <v>TGC</v>
      </c>
      <c r="C100" s="42" t="s">
        <v>10</v>
      </c>
      <c r="D100" s="43">
        <f>'5 H Y H.A. Y GGII'!C65</f>
        <v>42</v>
      </c>
      <c r="E100" s="31"/>
    </row>
    <row r="101" spans="1:5" ht="19.5">
      <c r="A101" s="40" t="str">
        <f>'5 H Y H.A. Y GGII'!A66</f>
        <v>PARDINI FRANCO</v>
      </c>
      <c r="B101" s="41" t="str">
        <f>'5 H Y H.A. Y GGII'!B66</f>
        <v>TGC</v>
      </c>
      <c r="C101" s="42" t="s">
        <v>10</v>
      </c>
      <c r="D101" s="43">
        <f>'5 H Y H.A. Y GGII'!C66</f>
        <v>44</v>
      </c>
      <c r="E101" s="31"/>
    </row>
    <row r="102" spans="1:5" ht="19.5">
      <c r="A102" s="40" t="str">
        <f>'5 H Y H.A. Y GGII'!A67</f>
        <v>STIER RENATA</v>
      </c>
      <c r="B102" s="41" t="str">
        <f>'5 H Y H.A. Y GGII'!B67</f>
        <v>SPGC</v>
      </c>
      <c r="C102" s="42" t="s">
        <v>10</v>
      </c>
      <c r="D102" s="43">
        <f>'5 H Y H.A. Y GGII'!C67</f>
        <v>44</v>
      </c>
      <c r="E102" s="31"/>
    </row>
    <row r="103" spans="1:5" ht="19.5">
      <c r="A103" s="40" t="str">
        <f>'5 H Y H.A. Y GGII'!A68</f>
        <v>FELICE JUAN</v>
      </c>
      <c r="B103" s="41" t="str">
        <f>'5 H Y H.A. Y GGII'!B68</f>
        <v>TGC</v>
      </c>
      <c r="C103" s="42" t="s">
        <v>10</v>
      </c>
      <c r="D103" s="43">
        <f>'5 H Y H.A. Y GGII'!C68</f>
        <v>45</v>
      </c>
      <c r="E103" s="31"/>
    </row>
    <row r="104" spans="1:5" ht="19.5">
      <c r="A104" s="40" t="str">
        <f>'5 H Y H.A. Y GGII'!A69</f>
        <v>LEOFANTI BIANCA</v>
      </c>
      <c r="B104" s="41" t="str">
        <f>'5 H Y H.A. Y GGII'!B69</f>
        <v>SPGC</v>
      </c>
      <c r="C104" s="42" t="s">
        <v>10</v>
      </c>
      <c r="D104" s="43">
        <f>'5 H Y H.A. Y GGII'!C69</f>
        <v>45</v>
      </c>
      <c r="E104" s="31"/>
    </row>
    <row r="105" spans="1:5" ht="19.5">
      <c r="A105" s="40" t="str">
        <f>'5 H Y H.A. Y GGII'!A73</f>
        <v>CASTRO LOLA</v>
      </c>
      <c r="B105" s="41" t="str">
        <f>'5 H Y H.A. Y GGII'!B73</f>
        <v>STGC</v>
      </c>
      <c r="C105" s="42" t="s">
        <v>10</v>
      </c>
      <c r="D105" s="43">
        <f>'5 H Y H.A. Y GGII'!C73</f>
        <v>47</v>
      </c>
      <c r="E105" s="31"/>
    </row>
    <row r="106" spans="1:5" ht="19.5">
      <c r="A106" s="40" t="str">
        <f>'5 H Y H.A. Y GGII'!A74</f>
        <v>MONTES VALENTIN</v>
      </c>
      <c r="B106" s="41" t="str">
        <f>'5 H Y H.A. Y GGII'!B74</f>
        <v>TGC</v>
      </c>
      <c r="C106" s="42" t="s">
        <v>10</v>
      </c>
      <c r="D106" s="43">
        <f>'5 H Y H.A. Y GGII'!C74</f>
        <v>50</v>
      </c>
      <c r="E106" s="31"/>
    </row>
    <row r="107" spans="1:5" ht="19.5">
      <c r="A107" s="40" t="str">
        <f>'5 H Y H.A. Y GGII'!A75</f>
        <v>LAZAR OMERO</v>
      </c>
      <c r="B107" s="41" t="str">
        <f>'5 H Y H.A. Y GGII'!B75</f>
        <v>LPSA</v>
      </c>
      <c r="C107" s="42" t="s">
        <v>10</v>
      </c>
      <c r="D107" s="43">
        <f>'5 H Y H.A. Y GGII'!C75</f>
        <v>59</v>
      </c>
      <c r="E107" s="31"/>
    </row>
    <row r="108" spans="1:5" ht="19.5">
      <c r="A108" s="40" t="str">
        <f>'5 H Y H.A. Y GGII'!A76</f>
        <v>QUIROGA FRANCO</v>
      </c>
      <c r="B108" s="41" t="str">
        <f>'5 H Y H.A. Y GGII'!B76</f>
        <v>LPSA</v>
      </c>
      <c r="C108" s="42" t="s">
        <v>10</v>
      </c>
      <c r="D108" s="43">
        <f>'5 H Y H.A. Y GGII'!C76</f>
        <v>60</v>
      </c>
      <c r="E108" s="31"/>
    </row>
    <row r="109" spans="1:5" ht="19.5">
      <c r="A109" s="40" t="str">
        <f>'5 H Y H.A. Y GGII'!A77</f>
        <v>ECHAIDE EUGENIA</v>
      </c>
      <c r="B109" s="41" t="str">
        <f>'5 H Y H.A. Y GGII'!B77</f>
        <v>LPSA</v>
      </c>
      <c r="C109" s="42" t="s">
        <v>10</v>
      </c>
      <c r="D109" s="43">
        <f>'5 H Y H.A. Y GGII'!C77</f>
        <v>61</v>
      </c>
      <c r="E109" s="31"/>
    </row>
    <row r="110" spans="1:5" ht="19.5">
      <c r="A110" s="40" t="str">
        <f>'5 H Y H.A. Y GGII'!A78</f>
        <v>ECHAIDE JOAQUIN</v>
      </c>
      <c r="B110" s="41" t="str">
        <f>'5 H Y H.A. Y GGII'!B78</f>
        <v>LPSA</v>
      </c>
      <c r="C110" s="42" t="s">
        <v>10</v>
      </c>
      <c r="D110" s="43">
        <f>'5 H Y H.A. Y GGII'!C78</f>
        <v>62</v>
      </c>
      <c r="E110" s="31"/>
    </row>
    <row r="111" spans="1:5" ht="19.5">
      <c r="A111" s="40" t="str">
        <f>'5 H Y H.A. Y GGII'!A79</f>
        <v>BERENGENO JOAQUINA</v>
      </c>
      <c r="B111" s="41" t="str">
        <f>'5 H Y H.A. Y GGII'!B79</f>
        <v>CMDP</v>
      </c>
      <c r="C111" s="42" t="s">
        <v>10</v>
      </c>
      <c r="D111" s="43" t="str">
        <f>'5 H Y H.A. Y GGII'!C79</f>
        <v>NPT</v>
      </c>
      <c r="E111" s="31"/>
    </row>
    <row r="112" spans="1:5">
      <c r="B112" s="7"/>
      <c r="C112" s="7"/>
      <c r="D112" s="7"/>
    </row>
    <row r="113" spans="2:4">
      <c r="B113" s="7"/>
      <c r="C113" s="7"/>
      <c r="D113" s="7"/>
    </row>
    <row r="114" spans="2:4">
      <c r="B114" s="7"/>
      <c r="C114" s="7"/>
      <c r="D114" s="7"/>
    </row>
    <row r="115" spans="2:4">
      <c r="B115" s="7"/>
      <c r="C115" s="7"/>
      <c r="D115" s="7"/>
    </row>
    <row r="116" spans="2:4">
      <c r="B116" s="7"/>
      <c r="C116" s="7"/>
      <c r="D116" s="7"/>
    </row>
    <row r="117" spans="2:4">
      <c r="B117" s="7"/>
      <c r="C117" s="7"/>
      <c r="D117" s="7"/>
    </row>
    <row r="118" spans="2:4">
      <c r="B118" s="7"/>
      <c r="C118" s="7"/>
      <c r="D118" s="7"/>
    </row>
    <row r="119" spans="2:4">
      <c r="B119" s="7"/>
      <c r="C119" s="7"/>
      <c r="D119" s="7"/>
    </row>
    <row r="120" spans="2:4">
      <c r="B120" s="7"/>
      <c r="C120" s="7"/>
      <c r="D120" s="7"/>
    </row>
    <row r="121" spans="2:4">
      <c r="B121" s="7"/>
      <c r="C121" s="7"/>
      <c r="D121" s="7"/>
    </row>
    <row r="122" spans="2:4">
      <c r="B122" s="7"/>
      <c r="C122" s="7"/>
      <c r="D122" s="7"/>
    </row>
    <row r="123" spans="2:4">
      <c r="B123" s="7"/>
      <c r="C123" s="7"/>
      <c r="D123" s="7"/>
    </row>
  </sheetData>
  <mergeCells count="14">
    <mergeCell ref="A43:D43"/>
    <mergeCell ref="A1:D1"/>
    <mergeCell ref="A2:D2"/>
    <mergeCell ref="A3:D3"/>
    <mergeCell ref="A4:D4"/>
    <mergeCell ref="A5:D5"/>
    <mergeCell ref="A28:D28"/>
    <mergeCell ref="A33:D33"/>
    <mergeCell ref="A38:D38"/>
    <mergeCell ref="A6:D6"/>
    <mergeCell ref="A8:D8"/>
    <mergeCell ref="A13:D13"/>
    <mergeCell ref="A18:D18"/>
    <mergeCell ref="A23:D23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workbookViewId="0"/>
  </sheetViews>
  <sheetFormatPr baseColWidth="10" defaultRowHeight="25.5"/>
  <cols>
    <col min="1" max="1" width="32.42578125" style="88" bestFit="1" customWidth="1"/>
    <col min="2" max="2" width="23.28515625" style="88" bestFit="1" customWidth="1"/>
    <col min="3" max="4" width="11.42578125" style="88"/>
    <col min="5" max="5" width="32.42578125" style="88" bestFit="1" customWidth="1"/>
    <col min="6" max="6" width="23.7109375" style="88" bestFit="1" customWidth="1"/>
    <col min="7" max="16384" width="11.42578125" style="88"/>
  </cols>
  <sheetData>
    <row r="1" spans="1:6" ht="26.25">
      <c r="A1" s="92" t="s">
        <v>240</v>
      </c>
      <c r="B1" s="92" t="s">
        <v>241</v>
      </c>
      <c r="E1" s="92" t="s">
        <v>240</v>
      </c>
      <c r="F1" s="92" t="s">
        <v>289</v>
      </c>
    </row>
    <row r="2" spans="1:6">
      <c r="A2" s="90" t="s">
        <v>226</v>
      </c>
      <c r="B2" s="89">
        <v>6</v>
      </c>
      <c r="E2" s="90" t="s">
        <v>226</v>
      </c>
      <c r="F2" s="89">
        <v>1</v>
      </c>
    </row>
    <row r="3" spans="1:6">
      <c r="A3" s="90" t="s">
        <v>229</v>
      </c>
      <c r="B3" s="89">
        <v>9</v>
      </c>
      <c r="E3" s="90" t="s">
        <v>229</v>
      </c>
      <c r="F3" s="89">
        <v>0</v>
      </c>
    </row>
    <row r="4" spans="1:6">
      <c r="A4" s="90" t="s">
        <v>227</v>
      </c>
      <c r="B4" s="89">
        <v>4</v>
      </c>
      <c r="E4" s="90" t="s">
        <v>227</v>
      </c>
      <c r="F4" s="89">
        <v>5</v>
      </c>
    </row>
    <row r="5" spans="1:6">
      <c r="A5" s="90" t="s">
        <v>230</v>
      </c>
      <c r="B5" s="89">
        <v>6</v>
      </c>
      <c r="E5" s="90" t="s">
        <v>230</v>
      </c>
      <c r="F5" s="89">
        <v>4</v>
      </c>
    </row>
    <row r="6" spans="1:6">
      <c r="A6" s="90" t="s">
        <v>228</v>
      </c>
      <c r="B6" s="89">
        <v>14</v>
      </c>
      <c r="E6" s="90" t="s">
        <v>228</v>
      </c>
      <c r="F6" s="89">
        <v>2</v>
      </c>
    </row>
    <row r="7" spans="1:6">
      <c r="A7" s="90" t="s">
        <v>231</v>
      </c>
      <c r="B7" s="89">
        <v>11</v>
      </c>
      <c r="E7" s="90" t="s">
        <v>231</v>
      </c>
      <c r="F7" s="89">
        <v>3</v>
      </c>
    </row>
    <row r="8" spans="1:6">
      <c r="A8" s="90" t="s">
        <v>232</v>
      </c>
      <c r="B8" s="89">
        <v>6</v>
      </c>
      <c r="E8" s="90" t="s">
        <v>232</v>
      </c>
      <c r="F8" s="89">
        <v>1</v>
      </c>
    </row>
    <row r="9" spans="1:6">
      <c r="A9" s="90" t="s">
        <v>233</v>
      </c>
      <c r="B9" s="89">
        <v>10</v>
      </c>
      <c r="E9" s="90" t="s">
        <v>233</v>
      </c>
      <c r="F9" s="89">
        <v>3</v>
      </c>
    </row>
    <row r="10" spans="1:6">
      <c r="A10" s="90" t="s">
        <v>234</v>
      </c>
      <c r="B10" s="89">
        <v>5</v>
      </c>
      <c r="E10" s="90" t="s">
        <v>234</v>
      </c>
      <c r="F10" s="89">
        <v>6</v>
      </c>
    </row>
    <row r="11" spans="1:6">
      <c r="A11" s="90" t="s">
        <v>235</v>
      </c>
      <c r="B11" s="89">
        <v>17</v>
      </c>
      <c r="E11" s="90" t="s">
        <v>235</v>
      </c>
      <c r="F11" s="89">
        <v>7</v>
      </c>
    </row>
    <row r="12" spans="1:6">
      <c r="A12" s="90" t="s">
        <v>236</v>
      </c>
      <c r="B12" s="89">
        <v>17</v>
      </c>
      <c r="E12" s="90" t="s">
        <v>236</v>
      </c>
      <c r="F12" s="89">
        <v>2</v>
      </c>
    </row>
    <row r="13" spans="1:6">
      <c r="A13" s="90" t="s">
        <v>237</v>
      </c>
      <c r="B13" s="89">
        <v>15</v>
      </c>
      <c r="E13" s="90" t="s">
        <v>237</v>
      </c>
      <c r="F13" s="89">
        <v>7</v>
      </c>
    </row>
    <row r="14" spans="1:6">
      <c r="A14" s="90" t="s">
        <v>238</v>
      </c>
      <c r="B14" s="89">
        <v>11</v>
      </c>
      <c r="E14" s="90" t="s">
        <v>238</v>
      </c>
      <c r="F14" s="89">
        <v>0</v>
      </c>
    </row>
    <row r="15" spans="1:6">
      <c r="A15" s="90" t="s">
        <v>239</v>
      </c>
      <c r="B15" s="89">
        <v>67</v>
      </c>
      <c r="E15" s="90" t="s">
        <v>239</v>
      </c>
      <c r="F15" s="89">
        <v>11</v>
      </c>
    </row>
    <row r="16" spans="1:6" ht="26.25">
      <c r="A16" s="91" t="s">
        <v>8</v>
      </c>
      <c r="B16" s="91">
        <f>SUM(B2:B15)</f>
        <v>198</v>
      </c>
      <c r="E16" s="91" t="s">
        <v>8</v>
      </c>
      <c r="F16" s="91">
        <f>SUM(F2:F15)</f>
        <v>52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zoomScale="70" zoomScaleNormal="70" workbookViewId="0">
      <selection sqref="A1:H1"/>
    </sheetView>
  </sheetViews>
  <sheetFormatPr baseColWidth="10" defaultRowHeight="18.75"/>
  <cols>
    <col min="1" max="1" width="28.7109375" style="1" customWidth="1"/>
    <col min="2" max="2" width="7.7109375" style="21" bestFit="1" customWidth="1"/>
    <col min="3" max="3" width="10.7109375" style="21" customWidth="1"/>
    <col min="4" max="8" width="6.7109375" style="2" customWidth="1"/>
    <col min="9" max="9" width="11.28515625" style="2" bestFit="1" customWidth="1"/>
    <col min="10" max="10" width="6.140625" style="2" bestFit="1" customWidth="1"/>
    <col min="11" max="11" width="3.85546875" style="1" bestFit="1" customWidth="1"/>
    <col min="12" max="16384" width="11.42578125" style="1"/>
  </cols>
  <sheetData>
    <row r="1" spans="1:11" ht="30.75">
      <c r="A1" s="174" t="str">
        <f>JUV!A1</f>
        <v>2° TORNEO VIRTUAL</v>
      </c>
      <c r="B1" s="174"/>
      <c r="C1" s="174"/>
      <c r="D1" s="174"/>
      <c r="E1" s="174"/>
      <c r="F1" s="174"/>
      <c r="G1" s="174"/>
      <c r="H1" s="174"/>
      <c r="I1" s="94"/>
      <c r="J1" s="94"/>
    </row>
    <row r="2" spans="1:11" ht="23.25">
      <c r="A2" s="178" t="str">
        <f>JUV!A2</f>
        <v>CLUBES DE LA FEDERACION</v>
      </c>
      <c r="B2" s="178"/>
      <c r="C2" s="178"/>
      <c r="D2" s="178"/>
      <c r="E2" s="178"/>
      <c r="F2" s="178"/>
      <c r="G2" s="178"/>
      <c r="H2" s="178"/>
      <c r="I2" s="98"/>
      <c r="J2" s="98"/>
    </row>
    <row r="3" spans="1:11" ht="19.5">
      <c r="A3" s="175" t="s">
        <v>7</v>
      </c>
      <c r="B3" s="175"/>
      <c r="C3" s="175"/>
      <c r="D3" s="175"/>
      <c r="E3" s="175"/>
      <c r="F3" s="175"/>
      <c r="G3" s="175"/>
      <c r="H3" s="175"/>
      <c r="I3" s="1"/>
      <c r="J3" s="1"/>
    </row>
    <row r="4" spans="1:11" ht="26.25">
      <c r="A4" s="176" t="s">
        <v>11</v>
      </c>
      <c r="B4" s="176"/>
      <c r="C4" s="176"/>
      <c r="D4" s="176"/>
      <c r="E4" s="176"/>
      <c r="F4" s="176"/>
      <c r="G4" s="176"/>
      <c r="H4" s="176"/>
      <c r="I4" s="96"/>
      <c r="J4" s="96"/>
    </row>
    <row r="5" spans="1:11" ht="19.5">
      <c r="A5" s="177" t="str">
        <f>JUV!A5</f>
        <v>DOS VUELTAS DE 9 HOYOS MEDAL PLAY</v>
      </c>
      <c r="B5" s="177"/>
      <c r="C5" s="177"/>
      <c r="D5" s="177"/>
      <c r="E5" s="177"/>
      <c r="F5" s="177"/>
      <c r="G5" s="177"/>
      <c r="H5" s="177"/>
      <c r="I5" s="97"/>
      <c r="J5" s="97"/>
    </row>
    <row r="6" spans="1:11" ht="19.5">
      <c r="A6" s="171" t="str">
        <f>JUV!A6</f>
        <v>10  AL 13 DE OCTUBRE DE 2020</v>
      </c>
      <c r="B6" s="171"/>
      <c r="C6" s="171"/>
      <c r="D6" s="171"/>
      <c r="E6" s="171"/>
      <c r="F6" s="171"/>
      <c r="G6" s="171"/>
      <c r="H6" s="171"/>
      <c r="I6" s="93"/>
      <c r="J6" s="93"/>
    </row>
    <row r="7" spans="1:11" ht="19.5">
      <c r="A7" s="66"/>
      <c r="B7" s="133"/>
      <c r="C7" s="133"/>
      <c r="D7" s="66"/>
      <c r="E7" s="66"/>
      <c r="F7" s="66"/>
      <c r="G7" s="66"/>
      <c r="H7" s="66"/>
      <c r="I7" s="93"/>
      <c r="J7" s="93"/>
    </row>
    <row r="8" spans="1:11" ht="20.25" thickBot="1">
      <c r="A8" s="179" t="str">
        <f>JUV!A8</f>
        <v>BOCHAS BLANCAS</v>
      </c>
      <c r="B8" s="179"/>
      <c r="C8" s="179"/>
      <c r="D8" s="179"/>
      <c r="E8" s="179"/>
      <c r="F8" s="179"/>
      <c r="G8" s="179"/>
      <c r="H8" s="179"/>
      <c r="I8" s="1"/>
      <c r="J8" s="1"/>
    </row>
    <row r="9" spans="1:11" ht="20.25" thickBot="1">
      <c r="A9" s="183" t="s">
        <v>25</v>
      </c>
      <c r="B9" s="184"/>
      <c r="C9" s="184"/>
      <c r="D9" s="184"/>
      <c r="E9" s="184"/>
      <c r="F9" s="184"/>
      <c r="G9" s="184"/>
      <c r="H9" s="185"/>
      <c r="I9" s="153" t="s">
        <v>242</v>
      </c>
      <c r="J9" s="154" t="s">
        <v>244</v>
      </c>
    </row>
    <row r="10" spans="1:11" s="3" customFormat="1" ht="20.25" thickBot="1">
      <c r="A10" s="4" t="s">
        <v>0</v>
      </c>
      <c r="B10" s="134" t="s">
        <v>9</v>
      </c>
      <c r="C10" s="134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5" t="s">
        <v>5</v>
      </c>
      <c r="I10" s="155" t="s">
        <v>243</v>
      </c>
      <c r="J10" s="156" t="s">
        <v>245</v>
      </c>
    </row>
    <row r="11" spans="1:11" ht="20.25" thickBot="1">
      <c r="A11" s="27" t="s">
        <v>74</v>
      </c>
      <c r="B11" s="136" t="s">
        <v>146</v>
      </c>
      <c r="C11" s="140">
        <v>37347</v>
      </c>
      <c r="D11" s="29">
        <v>3</v>
      </c>
      <c r="E11" s="25">
        <v>36</v>
      </c>
      <c r="F11" s="30">
        <v>37</v>
      </c>
      <c r="G11" s="17">
        <f>SUM(E11:F11)</f>
        <v>73</v>
      </c>
      <c r="H11" s="132">
        <f>SUM(G11-D11)</f>
        <v>70</v>
      </c>
      <c r="I11" s="112">
        <v>72</v>
      </c>
      <c r="J11" s="117">
        <f t="shared" ref="J11:J16" si="0">(H11-I11)</f>
        <v>-2</v>
      </c>
      <c r="K11" s="22" t="s">
        <v>18</v>
      </c>
    </row>
    <row r="12" spans="1:11" ht="20.25" thickBot="1">
      <c r="A12" s="27" t="s">
        <v>274</v>
      </c>
      <c r="B12" s="136" t="s">
        <v>48</v>
      </c>
      <c r="C12" s="140">
        <v>38162</v>
      </c>
      <c r="D12" s="29">
        <v>5</v>
      </c>
      <c r="E12" s="25">
        <v>37</v>
      </c>
      <c r="F12" s="30">
        <v>37</v>
      </c>
      <c r="G12" s="17">
        <f>SUM(E12:F12)</f>
        <v>74</v>
      </c>
      <c r="H12" s="132">
        <f>SUM(G12-D12)</f>
        <v>69</v>
      </c>
      <c r="I12" s="112">
        <v>70</v>
      </c>
      <c r="J12" s="117">
        <f t="shared" si="0"/>
        <v>-1</v>
      </c>
      <c r="K12" s="22" t="s">
        <v>20</v>
      </c>
    </row>
    <row r="13" spans="1:11" ht="19.5">
      <c r="A13" s="27" t="s">
        <v>256</v>
      </c>
      <c r="B13" s="136" t="s">
        <v>247</v>
      </c>
      <c r="C13" s="140">
        <v>37467</v>
      </c>
      <c r="D13" s="29">
        <v>2</v>
      </c>
      <c r="E13" s="25">
        <v>35</v>
      </c>
      <c r="F13" s="30">
        <v>39</v>
      </c>
      <c r="G13" s="17">
        <v>74</v>
      </c>
      <c r="H13" s="16">
        <f>SUM(G13-D13)</f>
        <v>72</v>
      </c>
      <c r="I13" s="112">
        <v>71</v>
      </c>
      <c r="J13" s="117">
        <f t="shared" si="0"/>
        <v>1</v>
      </c>
    </row>
    <row r="14" spans="1:11" ht="19.5">
      <c r="A14" s="27" t="s">
        <v>257</v>
      </c>
      <c r="B14" s="136" t="s">
        <v>247</v>
      </c>
      <c r="C14" s="140">
        <v>37467</v>
      </c>
      <c r="D14" s="29">
        <v>5</v>
      </c>
      <c r="E14" s="25">
        <v>42</v>
      </c>
      <c r="F14" s="30">
        <v>36</v>
      </c>
      <c r="G14" s="17">
        <v>78</v>
      </c>
      <c r="H14" s="16">
        <v>73</v>
      </c>
      <c r="I14" s="112">
        <v>71</v>
      </c>
      <c r="J14" s="117">
        <f t="shared" si="0"/>
        <v>2</v>
      </c>
    </row>
    <row r="15" spans="1:11" ht="19.5">
      <c r="A15" s="27" t="s">
        <v>73</v>
      </c>
      <c r="B15" s="136" t="s">
        <v>146</v>
      </c>
      <c r="C15" s="140">
        <v>37476</v>
      </c>
      <c r="D15" s="29">
        <v>19</v>
      </c>
      <c r="E15" s="25">
        <f>6+5+7+6+5+6+5+5+5</f>
        <v>50</v>
      </c>
      <c r="F15" s="30">
        <f>5+6+8+4+6+5+5+3+5</f>
        <v>47</v>
      </c>
      <c r="G15" s="17">
        <f>SUM(E15:F15)</f>
        <v>97</v>
      </c>
      <c r="H15" s="16">
        <f>SUM(G15-D15)</f>
        <v>78</v>
      </c>
      <c r="I15" s="112">
        <v>72</v>
      </c>
      <c r="J15" s="117">
        <f t="shared" si="0"/>
        <v>6</v>
      </c>
    </row>
    <row r="16" spans="1:11" ht="19.5">
      <c r="A16" s="27" t="s">
        <v>118</v>
      </c>
      <c r="B16" s="136" t="s">
        <v>119</v>
      </c>
      <c r="C16" s="140">
        <v>37583</v>
      </c>
      <c r="D16" s="29">
        <v>26</v>
      </c>
      <c r="E16" s="25">
        <f>6+6+8+7+4+5+4+7+6</f>
        <v>53</v>
      </c>
      <c r="F16" s="30">
        <f>8+7+5+4+6+4+6+5+5</f>
        <v>50</v>
      </c>
      <c r="G16" s="17">
        <f>SUM(E16:F16)</f>
        <v>103</v>
      </c>
      <c r="H16" s="16">
        <f>SUM(G16-D16)</f>
        <v>77</v>
      </c>
      <c r="I16" s="112">
        <v>71</v>
      </c>
      <c r="J16" s="117">
        <f t="shared" si="0"/>
        <v>6</v>
      </c>
    </row>
    <row r="17" spans="1:10" ht="19.5">
      <c r="A17" s="158" t="s">
        <v>280</v>
      </c>
      <c r="B17" s="136" t="s">
        <v>48</v>
      </c>
      <c r="C17" s="140">
        <v>37601</v>
      </c>
      <c r="D17" s="145" t="s">
        <v>10</v>
      </c>
      <c r="E17" s="25" t="s">
        <v>5</v>
      </c>
      <c r="F17" s="30" t="s">
        <v>259</v>
      </c>
      <c r="G17" s="17" t="s">
        <v>260</v>
      </c>
      <c r="H17" s="146" t="s">
        <v>10</v>
      </c>
      <c r="I17" s="147" t="s">
        <v>10</v>
      </c>
      <c r="J17" s="148" t="s">
        <v>10</v>
      </c>
    </row>
    <row r="18" spans="1:10" ht="19.5">
      <c r="A18" s="158" t="s">
        <v>281</v>
      </c>
      <c r="B18" s="136" t="s">
        <v>48</v>
      </c>
      <c r="C18" s="140">
        <v>38133</v>
      </c>
      <c r="D18" s="145" t="s">
        <v>10</v>
      </c>
      <c r="E18" s="25" t="s">
        <v>5</v>
      </c>
      <c r="F18" s="30" t="s">
        <v>259</v>
      </c>
      <c r="G18" s="17" t="s">
        <v>260</v>
      </c>
      <c r="H18" s="146" t="s">
        <v>10</v>
      </c>
      <c r="I18" s="147" t="s">
        <v>10</v>
      </c>
      <c r="J18" s="148" t="s">
        <v>10</v>
      </c>
    </row>
    <row r="19" spans="1:10" ht="19.5">
      <c r="A19" s="158" t="s">
        <v>282</v>
      </c>
      <c r="B19" s="136" t="s">
        <v>48</v>
      </c>
      <c r="C19" s="140">
        <v>38299</v>
      </c>
      <c r="D19" s="145" t="s">
        <v>10</v>
      </c>
      <c r="E19" s="25" t="s">
        <v>5</v>
      </c>
      <c r="F19" s="30" t="s">
        <v>259</v>
      </c>
      <c r="G19" s="17" t="s">
        <v>260</v>
      </c>
      <c r="H19" s="146" t="s">
        <v>10</v>
      </c>
      <c r="I19" s="147" t="s">
        <v>10</v>
      </c>
      <c r="J19" s="148" t="s">
        <v>10</v>
      </c>
    </row>
    <row r="20" spans="1:10" ht="20.25" thickBot="1">
      <c r="A20" s="159" t="s">
        <v>283</v>
      </c>
      <c r="B20" s="137" t="s">
        <v>48</v>
      </c>
      <c r="C20" s="141">
        <v>38341</v>
      </c>
      <c r="D20" s="149" t="s">
        <v>10</v>
      </c>
      <c r="E20" s="101" t="s">
        <v>5</v>
      </c>
      <c r="F20" s="102" t="s">
        <v>259</v>
      </c>
      <c r="G20" s="103" t="s">
        <v>260</v>
      </c>
      <c r="H20" s="150" t="s">
        <v>10</v>
      </c>
      <c r="I20" s="151" t="s">
        <v>10</v>
      </c>
      <c r="J20" s="152" t="s">
        <v>10</v>
      </c>
    </row>
  </sheetData>
  <sortState ref="A11:J16">
    <sortCondition ref="J11:J16"/>
    <sortCondition ref="D11:D16"/>
  </sortState>
  <mergeCells count="8">
    <mergeCell ref="A8:H8"/>
    <mergeCell ref="A5:H5"/>
    <mergeCell ref="A9:H9"/>
    <mergeCell ref="A1:H1"/>
    <mergeCell ref="A2:H2"/>
    <mergeCell ref="A3:H3"/>
    <mergeCell ref="A4:H4"/>
    <mergeCell ref="A6:H6"/>
  </mergeCells>
  <phoneticPr fontId="0" type="noConversion"/>
  <conditionalFormatting sqref="J11">
    <cfRule type="cellIs" dxfId="164" priority="31" operator="equal">
      <formula>0</formula>
    </cfRule>
    <cfRule type="cellIs" dxfId="163" priority="32" operator="lessThan">
      <formula>0</formula>
    </cfRule>
    <cfRule type="cellIs" dxfId="162" priority="33" operator="greaterThan">
      <formula>0</formula>
    </cfRule>
  </conditionalFormatting>
  <conditionalFormatting sqref="J12">
    <cfRule type="cellIs" dxfId="161" priority="28" operator="equal">
      <formula>0</formula>
    </cfRule>
    <cfRule type="cellIs" dxfId="160" priority="29" operator="lessThan">
      <formula>0</formula>
    </cfRule>
    <cfRule type="cellIs" dxfId="159" priority="30" operator="greaterThan">
      <formula>0</formula>
    </cfRule>
  </conditionalFormatting>
  <conditionalFormatting sqref="J12:J14">
    <cfRule type="cellIs" dxfId="158" priority="25" operator="equal">
      <formula>0</formula>
    </cfRule>
    <cfRule type="cellIs" dxfId="157" priority="26" operator="lessThan">
      <formula>0</formula>
    </cfRule>
    <cfRule type="cellIs" dxfId="156" priority="27" operator="greaterThan">
      <formula>0</formula>
    </cfRule>
  </conditionalFormatting>
  <conditionalFormatting sqref="J15:J16">
    <cfRule type="cellIs" dxfId="155" priority="22" operator="equal">
      <formula>0</formula>
    </cfRule>
    <cfRule type="cellIs" dxfId="154" priority="23" operator="lessThan">
      <formula>0</formula>
    </cfRule>
    <cfRule type="cellIs" dxfId="153" priority="24" operator="greaterThan">
      <formula>0</formula>
    </cfRule>
  </conditionalFormatting>
  <conditionalFormatting sqref="J15">
    <cfRule type="cellIs" dxfId="152" priority="19" operator="equal">
      <formula>0</formula>
    </cfRule>
    <cfRule type="cellIs" dxfId="151" priority="20" operator="lessThan">
      <formula>0</formula>
    </cfRule>
    <cfRule type="cellIs" dxfId="150" priority="21" operator="greaterThan">
      <formula>0</formula>
    </cfRule>
  </conditionalFormatting>
  <conditionalFormatting sqref="J16">
    <cfRule type="cellIs" dxfId="149" priority="16" operator="equal">
      <formula>0</formula>
    </cfRule>
    <cfRule type="cellIs" dxfId="148" priority="17" operator="lessThan">
      <formula>0</formula>
    </cfRule>
    <cfRule type="cellIs" dxfId="147" priority="18" operator="greaterThan">
      <formula>0</formula>
    </cfRule>
  </conditionalFormatting>
  <conditionalFormatting sqref="J17">
    <cfRule type="cellIs" dxfId="146" priority="13" operator="equal">
      <formula>0</formula>
    </cfRule>
    <cfRule type="cellIs" dxfId="145" priority="14" operator="lessThan">
      <formula>0</formula>
    </cfRule>
    <cfRule type="cellIs" dxfId="144" priority="15" operator="greaterThan">
      <formula>0</formula>
    </cfRule>
  </conditionalFormatting>
  <conditionalFormatting sqref="J18">
    <cfRule type="cellIs" dxfId="143" priority="10" operator="equal">
      <formula>0</formula>
    </cfRule>
    <cfRule type="cellIs" dxfId="142" priority="11" operator="lessThan">
      <formula>0</formula>
    </cfRule>
    <cfRule type="cellIs" dxfId="141" priority="12" operator="greaterThan">
      <formula>0</formula>
    </cfRule>
  </conditionalFormatting>
  <conditionalFormatting sqref="J19">
    <cfRule type="cellIs" dxfId="140" priority="7" operator="equal">
      <formula>0</formula>
    </cfRule>
    <cfRule type="cellIs" dxfId="139" priority="8" operator="lessThan">
      <formula>0</formula>
    </cfRule>
    <cfRule type="cellIs" dxfId="138" priority="9" operator="greaterThan">
      <formula>0</formula>
    </cfRule>
  </conditionalFormatting>
  <conditionalFormatting sqref="J20">
    <cfRule type="cellIs" dxfId="137" priority="4" operator="equal">
      <formula>0</formula>
    </cfRule>
    <cfRule type="cellIs" dxfId="136" priority="5" operator="lessThan">
      <formula>0</formula>
    </cfRule>
    <cfRule type="cellIs" dxfId="135" priority="6" operator="greaterThan">
      <formula>0</formula>
    </cfRule>
  </conditionalFormatting>
  <conditionalFormatting sqref="J17:J20">
    <cfRule type="cellIs" dxfId="134" priority="1" operator="equal">
      <formula>0</formula>
    </cfRule>
    <cfRule type="cellIs" dxfId="133" priority="2" operator="lessThan">
      <formula>0</formula>
    </cfRule>
    <cfRule type="cellIs" dxfId="132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zoomScale="70" workbookViewId="0">
      <selection sqref="A1:H1"/>
    </sheetView>
  </sheetViews>
  <sheetFormatPr baseColWidth="10" defaultRowHeight="18.75"/>
  <cols>
    <col min="1" max="1" width="25" style="1" customWidth="1"/>
    <col min="2" max="2" width="9.7109375" style="21" bestFit="1" customWidth="1"/>
    <col min="3" max="3" width="10.7109375" style="21" bestFit="1" customWidth="1"/>
    <col min="4" max="4" width="7.85546875" style="2" bestFit="1" customWidth="1"/>
    <col min="5" max="8" width="6.7109375" style="2" customWidth="1"/>
    <col min="9" max="9" width="11.28515625" style="2" bestFit="1" customWidth="1"/>
    <col min="10" max="10" width="6.7109375" style="2" customWidth="1"/>
    <col min="11" max="11" width="4.42578125" style="1" bestFit="1" customWidth="1"/>
    <col min="12" max="16384" width="11.42578125" style="1"/>
  </cols>
  <sheetData>
    <row r="1" spans="1:11" ht="30.75">
      <c r="A1" s="174" t="str">
        <f>JUV!A1</f>
        <v>2° TORNEO VIRTUAL</v>
      </c>
      <c r="B1" s="174"/>
      <c r="C1" s="174"/>
      <c r="D1" s="174"/>
      <c r="E1" s="174"/>
      <c r="F1" s="174"/>
      <c r="G1" s="174"/>
      <c r="H1" s="174"/>
      <c r="I1" s="94"/>
      <c r="J1" s="94"/>
    </row>
    <row r="2" spans="1:11" ht="23.25">
      <c r="A2" s="178" t="str">
        <f>JUV!A2</f>
        <v>CLUBES DE LA FEDERACION</v>
      </c>
      <c r="B2" s="178"/>
      <c r="C2" s="178"/>
      <c r="D2" s="178"/>
      <c r="E2" s="178"/>
      <c r="F2" s="178"/>
      <c r="G2" s="178"/>
      <c r="H2" s="178"/>
      <c r="I2" s="98"/>
      <c r="J2" s="98"/>
    </row>
    <row r="3" spans="1:11" ht="19.5">
      <c r="A3" s="175" t="s">
        <v>7</v>
      </c>
      <c r="B3" s="175"/>
      <c r="C3" s="175"/>
      <c r="D3" s="175"/>
      <c r="E3" s="175"/>
      <c r="F3" s="175"/>
      <c r="G3" s="175"/>
      <c r="H3" s="175"/>
      <c r="I3" s="95"/>
      <c r="J3" s="95"/>
    </row>
    <row r="4" spans="1:11" ht="26.25">
      <c r="A4" s="176" t="s">
        <v>11</v>
      </c>
      <c r="B4" s="176"/>
      <c r="C4" s="176"/>
      <c r="D4" s="176"/>
      <c r="E4" s="176"/>
      <c r="F4" s="176"/>
      <c r="G4" s="176"/>
      <c r="H4" s="176"/>
      <c r="I4" s="96"/>
      <c r="J4" s="96"/>
    </row>
    <row r="5" spans="1:11" ht="19.5">
      <c r="A5" s="177" t="str">
        <f>JUV!A5</f>
        <v>DOS VUELTAS DE 9 HOYOS MEDAL PLAY</v>
      </c>
      <c r="B5" s="177"/>
      <c r="C5" s="177"/>
      <c r="D5" s="177"/>
      <c r="E5" s="177"/>
      <c r="F5" s="177"/>
      <c r="G5" s="177"/>
      <c r="H5" s="177"/>
      <c r="I5" s="97"/>
      <c r="J5" s="97"/>
    </row>
    <row r="6" spans="1:11" ht="19.5">
      <c r="A6" s="171" t="str">
        <f>JUV!A6</f>
        <v>10  AL 13 DE OCTUBRE DE 2020</v>
      </c>
      <c r="B6" s="171"/>
      <c r="C6" s="171"/>
      <c r="D6" s="171"/>
      <c r="E6" s="171"/>
      <c r="F6" s="171"/>
      <c r="G6" s="171"/>
      <c r="H6" s="171"/>
      <c r="I6" s="93"/>
      <c r="J6" s="93"/>
    </row>
    <row r="7" spans="1:11" ht="20.25" thickBot="1">
      <c r="A7" s="66"/>
      <c r="B7" s="133"/>
      <c r="C7" s="133"/>
      <c r="D7" s="66"/>
      <c r="E7" s="66"/>
      <c r="F7" s="66"/>
      <c r="G7" s="66"/>
      <c r="H7" s="66"/>
      <c r="I7" s="93"/>
      <c r="J7" s="93"/>
    </row>
    <row r="8" spans="1:11" ht="20.25" thickBot="1">
      <c r="A8" s="186" t="str">
        <f>JUV!A8</f>
        <v>BOCHAS BLANCAS</v>
      </c>
      <c r="B8" s="187"/>
      <c r="C8" s="187"/>
      <c r="D8" s="187"/>
      <c r="E8" s="187"/>
      <c r="F8" s="187"/>
      <c r="G8" s="187"/>
      <c r="H8" s="188"/>
      <c r="I8" s="1"/>
      <c r="J8" s="1"/>
    </row>
    <row r="9" spans="1:11" ht="20.25" thickBot="1">
      <c r="A9" s="183" t="s">
        <v>45</v>
      </c>
      <c r="B9" s="184"/>
      <c r="C9" s="184"/>
      <c r="D9" s="184"/>
      <c r="E9" s="184"/>
      <c r="F9" s="184"/>
      <c r="G9" s="184"/>
      <c r="H9" s="185"/>
      <c r="I9" s="153" t="s">
        <v>242</v>
      </c>
      <c r="J9" s="154" t="s">
        <v>244</v>
      </c>
    </row>
    <row r="10" spans="1:11" s="3" customFormat="1" ht="20.25" thickBot="1">
      <c r="A10" s="4" t="s">
        <v>0</v>
      </c>
      <c r="B10" s="134" t="s">
        <v>9</v>
      </c>
      <c r="C10" s="134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5" t="s">
        <v>5</v>
      </c>
      <c r="I10" s="155" t="s">
        <v>243</v>
      </c>
      <c r="J10" s="156" t="s">
        <v>245</v>
      </c>
    </row>
    <row r="11" spans="1:11" ht="20.25" thickBot="1">
      <c r="A11" s="27" t="s">
        <v>52</v>
      </c>
      <c r="B11" s="136" t="s">
        <v>50</v>
      </c>
      <c r="C11" s="140">
        <v>38873</v>
      </c>
      <c r="D11" s="29">
        <v>21</v>
      </c>
      <c r="E11" s="25">
        <f>4+7+5+3+5+3+5+4+5</f>
        <v>41</v>
      </c>
      <c r="F11" s="30">
        <f>5+5+4+5+4+4+5+3+6</f>
        <v>41</v>
      </c>
      <c r="G11" s="17">
        <f t="shared" ref="G11:G24" si="0">SUM(E11:F11)</f>
        <v>82</v>
      </c>
      <c r="H11" s="132">
        <f t="shared" ref="H11:H24" si="1">SUM(G11-D11)</f>
        <v>61</v>
      </c>
      <c r="I11" s="112">
        <v>71</v>
      </c>
      <c r="J11" s="117">
        <f t="shared" ref="J11:J24" si="2">(H11-I11)</f>
        <v>-10</v>
      </c>
      <c r="K11" s="105" t="s">
        <v>265</v>
      </c>
    </row>
    <row r="12" spans="1:11" ht="20.25" thickBot="1">
      <c r="A12" s="27" t="s">
        <v>77</v>
      </c>
      <c r="B12" s="136" t="s">
        <v>146</v>
      </c>
      <c r="C12" s="140">
        <v>38395</v>
      </c>
      <c r="D12" s="29">
        <v>23</v>
      </c>
      <c r="E12" s="25">
        <f>6+5+6+6+4+6+2+5+6</f>
        <v>46</v>
      </c>
      <c r="F12" s="30">
        <f>5+5+5+5+5+4+4+3+5</f>
        <v>41</v>
      </c>
      <c r="G12" s="17">
        <f t="shared" si="0"/>
        <v>87</v>
      </c>
      <c r="H12" s="16">
        <f t="shared" si="1"/>
        <v>64</v>
      </c>
      <c r="I12" s="112">
        <v>72</v>
      </c>
      <c r="J12" s="117">
        <f t="shared" si="2"/>
        <v>-8</v>
      </c>
      <c r="K12" s="105" t="s">
        <v>266</v>
      </c>
    </row>
    <row r="13" spans="1:11" ht="19.5">
      <c r="A13" s="27" t="s">
        <v>121</v>
      </c>
      <c r="B13" s="136" t="s">
        <v>119</v>
      </c>
      <c r="C13" s="140">
        <v>38398</v>
      </c>
      <c r="D13" s="29">
        <v>32</v>
      </c>
      <c r="E13" s="25">
        <f>5+5+5+4+7+5+4+7+5</f>
        <v>47</v>
      </c>
      <c r="F13" s="30">
        <f>6+6+4+6+5+3+5+6+7</f>
        <v>48</v>
      </c>
      <c r="G13" s="17">
        <f t="shared" si="0"/>
        <v>95</v>
      </c>
      <c r="H13" s="132">
        <f t="shared" si="1"/>
        <v>63</v>
      </c>
      <c r="I13" s="112">
        <v>71</v>
      </c>
      <c r="J13" s="117">
        <f t="shared" si="2"/>
        <v>-8</v>
      </c>
    </row>
    <row r="14" spans="1:11" ht="19.5">
      <c r="A14" s="27" t="s">
        <v>261</v>
      </c>
      <c r="B14" s="136" t="s">
        <v>247</v>
      </c>
      <c r="C14" s="140">
        <v>38888</v>
      </c>
      <c r="D14" s="29">
        <v>11</v>
      </c>
      <c r="E14" s="25">
        <v>43</v>
      </c>
      <c r="F14" s="30">
        <v>38</v>
      </c>
      <c r="G14" s="17">
        <f t="shared" si="0"/>
        <v>81</v>
      </c>
      <c r="H14" s="16">
        <f t="shared" si="1"/>
        <v>70</v>
      </c>
      <c r="I14" s="112">
        <v>71</v>
      </c>
      <c r="J14" s="117">
        <f t="shared" si="2"/>
        <v>-1</v>
      </c>
    </row>
    <row r="15" spans="1:11" ht="19.5">
      <c r="A15" s="27" t="s">
        <v>53</v>
      </c>
      <c r="B15" s="136" t="s">
        <v>50</v>
      </c>
      <c r="C15" s="140">
        <v>38422</v>
      </c>
      <c r="D15" s="29">
        <v>18</v>
      </c>
      <c r="E15" s="25">
        <f>5+7+5+4+6+6+6+4+6</f>
        <v>49</v>
      </c>
      <c r="F15" s="30">
        <f>4+5+4+5+5+4+4+3+5</f>
        <v>39</v>
      </c>
      <c r="G15" s="17">
        <f t="shared" si="0"/>
        <v>88</v>
      </c>
      <c r="H15" s="16">
        <f t="shared" si="1"/>
        <v>70</v>
      </c>
      <c r="I15" s="112">
        <v>71</v>
      </c>
      <c r="J15" s="117">
        <f t="shared" si="2"/>
        <v>-1</v>
      </c>
    </row>
    <row r="16" spans="1:11" ht="19.5">
      <c r="A16" s="27" t="s">
        <v>54</v>
      </c>
      <c r="B16" s="136" t="s">
        <v>50</v>
      </c>
      <c r="C16" s="140">
        <v>38589</v>
      </c>
      <c r="D16" s="29">
        <v>28</v>
      </c>
      <c r="E16" s="25">
        <f>5+6+4+10+8+5+5+5+4</f>
        <v>52</v>
      </c>
      <c r="F16" s="30">
        <f>4+4+7+6+5+4+6+5+7</f>
        <v>48</v>
      </c>
      <c r="G16" s="17">
        <f t="shared" si="0"/>
        <v>100</v>
      </c>
      <c r="H16" s="16">
        <f t="shared" si="1"/>
        <v>72</v>
      </c>
      <c r="I16" s="112">
        <v>71</v>
      </c>
      <c r="J16" s="117">
        <f t="shared" si="2"/>
        <v>1</v>
      </c>
    </row>
    <row r="17" spans="1:11" ht="19.5">
      <c r="A17" s="27" t="s">
        <v>147</v>
      </c>
      <c r="B17" s="136" t="s">
        <v>48</v>
      </c>
      <c r="C17" s="140">
        <v>38715</v>
      </c>
      <c r="D17" s="29">
        <v>8</v>
      </c>
      <c r="E17" s="25">
        <v>41</v>
      </c>
      <c r="F17" s="30">
        <v>39</v>
      </c>
      <c r="G17" s="17">
        <f t="shared" si="0"/>
        <v>80</v>
      </c>
      <c r="H17" s="16">
        <f t="shared" si="1"/>
        <v>72</v>
      </c>
      <c r="I17" s="112">
        <v>70</v>
      </c>
      <c r="J17" s="117">
        <f t="shared" si="2"/>
        <v>2</v>
      </c>
    </row>
    <row r="18" spans="1:11" ht="19.5">
      <c r="A18" s="27" t="s">
        <v>148</v>
      </c>
      <c r="B18" s="136" t="s">
        <v>48</v>
      </c>
      <c r="C18" s="140">
        <v>38715</v>
      </c>
      <c r="D18" s="29">
        <v>8</v>
      </c>
      <c r="E18" s="25">
        <v>39</v>
      </c>
      <c r="F18" s="30">
        <v>41</v>
      </c>
      <c r="G18" s="17">
        <f t="shared" si="0"/>
        <v>80</v>
      </c>
      <c r="H18" s="16">
        <f t="shared" si="1"/>
        <v>72</v>
      </c>
      <c r="I18" s="112">
        <v>70</v>
      </c>
      <c r="J18" s="117">
        <f t="shared" si="2"/>
        <v>2</v>
      </c>
    </row>
    <row r="19" spans="1:11" ht="19.5">
      <c r="A19" s="27" t="s">
        <v>122</v>
      </c>
      <c r="B19" s="136" t="s">
        <v>119</v>
      </c>
      <c r="C19" s="140">
        <v>38884</v>
      </c>
      <c r="D19" s="29">
        <v>1</v>
      </c>
      <c r="E19" s="25">
        <f>4+5+4+3+4+5+3+5+5</f>
        <v>38</v>
      </c>
      <c r="F19" s="30">
        <f>3+5+3+5+4+3+4+6+5</f>
        <v>38</v>
      </c>
      <c r="G19" s="17">
        <f t="shared" si="0"/>
        <v>76</v>
      </c>
      <c r="H19" s="16">
        <f t="shared" si="1"/>
        <v>75</v>
      </c>
      <c r="I19" s="112">
        <v>71</v>
      </c>
      <c r="J19" s="117">
        <f t="shared" si="2"/>
        <v>4</v>
      </c>
    </row>
    <row r="20" spans="1:11" ht="19.5">
      <c r="A20" s="27" t="s">
        <v>123</v>
      </c>
      <c r="B20" s="136" t="s">
        <v>119</v>
      </c>
      <c r="C20" s="140">
        <v>38789</v>
      </c>
      <c r="D20" s="29">
        <v>5</v>
      </c>
      <c r="E20" s="25">
        <f>3+4+6+6+5+6+4+6+5</f>
        <v>45</v>
      </c>
      <c r="F20" s="30">
        <f>3+3+4+4+4+4+5+6+3</f>
        <v>36</v>
      </c>
      <c r="G20" s="17">
        <f t="shared" si="0"/>
        <v>81</v>
      </c>
      <c r="H20" s="16">
        <f t="shared" si="1"/>
        <v>76</v>
      </c>
      <c r="I20" s="112">
        <v>71</v>
      </c>
      <c r="J20" s="117">
        <f t="shared" si="2"/>
        <v>5</v>
      </c>
    </row>
    <row r="21" spans="1:11" ht="19.5">
      <c r="A21" s="27" t="s">
        <v>37</v>
      </c>
      <c r="B21" s="136" t="s">
        <v>38</v>
      </c>
      <c r="C21" s="140">
        <v>39044</v>
      </c>
      <c r="D21" s="29">
        <v>10</v>
      </c>
      <c r="E21" s="25">
        <v>41</v>
      </c>
      <c r="F21" s="30">
        <v>44</v>
      </c>
      <c r="G21" s="17">
        <f t="shared" si="0"/>
        <v>85</v>
      </c>
      <c r="H21" s="16">
        <f t="shared" si="1"/>
        <v>75</v>
      </c>
      <c r="I21" s="112">
        <v>70</v>
      </c>
      <c r="J21" s="117">
        <f t="shared" si="2"/>
        <v>5</v>
      </c>
    </row>
    <row r="22" spans="1:11" ht="19.5">
      <c r="A22" s="27" t="s">
        <v>201</v>
      </c>
      <c r="B22" s="136" t="s">
        <v>202</v>
      </c>
      <c r="C22" s="140">
        <v>38652</v>
      </c>
      <c r="D22" s="29">
        <v>23</v>
      </c>
      <c r="E22" s="25">
        <v>54</v>
      </c>
      <c r="F22" s="30">
        <v>46</v>
      </c>
      <c r="G22" s="17">
        <f t="shared" si="0"/>
        <v>100</v>
      </c>
      <c r="H22" s="16">
        <f t="shared" si="1"/>
        <v>77</v>
      </c>
      <c r="I22" s="112">
        <v>72</v>
      </c>
      <c r="J22" s="117">
        <f t="shared" si="2"/>
        <v>5</v>
      </c>
    </row>
    <row r="23" spans="1:11" ht="19.5">
      <c r="A23" s="27" t="s">
        <v>124</v>
      </c>
      <c r="B23" s="136" t="s">
        <v>119</v>
      </c>
      <c r="C23" s="140">
        <v>38833</v>
      </c>
      <c r="D23" s="29">
        <v>6</v>
      </c>
      <c r="E23" s="25">
        <f>4+5+4+3+4+6+3+5+4</f>
        <v>38</v>
      </c>
      <c r="F23" s="30">
        <f>5+6+4+5+4+4+6+6+5</f>
        <v>45</v>
      </c>
      <c r="G23" s="17">
        <f t="shared" si="0"/>
        <v>83</v>
      </c>
      <c r="H23" s="16">
        <f t="shared" si="1"/>
        <v>77</v>
      </c>
      <c r="I23" s="112">
        <v>71</v>
      </c>
      <c r="J23" s="117">
        <f t="shared" si="2"/>
        <v>6</v>
      </c>
    </row>
    <row r="24" spans="1:11" ht="19.5">
      <c r="A24" s="27" t="s">
        <v>125</v>
      </c>
      <c r="B24" s="136" t="s">
        <v>119</v>
      </c>
      <c r="C24" s="140">
        <v>38609</v>
      </c>
      <c r="D24" s="29">
        <v>9</v>
      </c>
      <c r="E24" s="25">
        <f>6+6+6+5+5+7+4+6+5</f>
        <v>50</v>
      </c>
      <c r="F24" s="30">
        <f>6+5+4+4+4+2+4+5+6</f>
        <v>40</v>
      </c>
      <c r="G24" s="17">
        <f t="shared" si="0"/>
        <v>90</v>
      </c>
      <c r="H24" s="16">
        <f t="shared" si="1"/>
        <v>81</v>
      </c>
      <c r="I24" s="112">
        <v>71</v>
      </c>
      <c r="J24" s="117">
        <f t="shared" si="2"/>
        <v>10</v>
      </c>
    </row>
    <row r="25" spans="1:11" ht="19.5">
      <c r="A25" s="158" t="s">
        <v>284</v>
      </c>
      <c r="B25" s="136" t="s">
        <v>48</v>
      </c>
      <c r="C25" s="140">
        <v>38682</v>
      </c>
      <c r="D25" s="145" t="s">
        <v>10</v>
      </c>
      <c r="E25" s="25" t="s">
        <v>5</v>
      </c>
      <c r="F25" s="30" t="s">
        <v>259</v>
      </c>
      <c r="G25" s="17" t="s">
        <v>260</v>
      </c>
      <c r="H25" s="146" t="s">
        <v>10</v>
      </c>
      <c r="I25" s="147" t="s">
        <v>10</v>
      </c>
      <c r="J25" s="148" t="s">
        <v>10</v>
      </c>
    </row>
    <row r="26" spans="1:11" ht="20.25" thickBot="1">
      <c r="A26" s="159" t="s">
        <v>285</v>
      </c>
      <c r="B26" s="137" t="s">
        <v>48</v>
      </c>
      <c r="C26" s="141">
        <v>38888</v>
      </c>
      <c r="D26" s="149" t="s">
        <v>10</v>
      </c>
      <c r="E26" s="101" t="s">
        <v>5</v>
      </c>
      <c r="F26" s="102" t="s">
        <v>259</v>
      </c>
      <c r="G26" s="103" t="s">
        <v>260</v>
      </c>
      <c r="H26" s="150" t="s">
        <v>10</v>
      </c>
      <c r="I26" s="151" t="s">
        <v>10</v>
      </c>
      <c r="J26" s="152" t="s">
        <v>10</v>
      </c>
    </row>
    <row r="27" spans="1:11" ht="19.5" thickBot="1">
      <c r="B27" s="143"/>
      <c r="C27" s="143"/>
      <c r="D27" s="1"/>
      <c r="E27" s="1"/>
      <c r="F27" s="1"/>
      <c r="G27" s="1"/>
      <c r="H27" s="1"/>
      <c r="I27" s="1"/>
      <c r="J27" s="1"/>
    </row>
    <row r="28" spans="1:11" ht="20.25" thickBot="1">
      <c r="A28" s="180" t="str">
        <f>JUV!A21</f>
        <v>BOCHAS ROJAS</v>
      </c>
      <c r="B28" s="181"/>
      <c r="C28" s="181"/>
      <c r="D28" s="181"/>
      <c r="E28" s="181"/>
      <c r="F28" s="181"/>
      <c r="G28" s="181"/>
      <c r="H28" s="182"/>
      <c r="I28" s="1"/>
      <c r="J28" s="1"/>
    </row>
    <row r="29" spans="1:11" ht="20.25" thickBot="1">
      <c r="A29" s="183" t="s">
        <v>26</v>
      </c>
      <c r="B29" s="184"/>
      <c r="C29" s="184"/>
      <c r="D29" s="184"/>
      <c r="E29" s="184"/>
      <c r="F29" s="184"/>
      <c r="G29" s="184"/>
      <c r="H29" s="185"/>
      <c r="I29" s="153" t="s">
        <v>242</v>
      </c>
      <c r="J29" s="154" t="s">
        <v>244</v>
      </c>
    </row>
    <row r="30" spans="1:11" ht="20.25" thickBot="1">
      <c r="A30" s="4" t="s">
        <v>6</v>
      </c>
      <c r="B30" s="134" t="s">
        <v>9</v>
      </c>
      <c r="C30" s="134" t="s">
        <v>19</v>
      </c>
      <c r="D30" s="4" t="s">
        <v>1</v>
      </c>
      <c r="E30" s="4" t="s">
        <v>2</v>
      </c>
      <c r="F30" s="14" t="s">
        <v>3</v>
      </c>
      <c r="G30" s="13" t="s">
        <v>4</v>
      </c>
      <c r="H30" s="15" t="s">
        <v>5</v>
      </c>
      <c r="I30" s="155" t="s">
        <v>243</v>
      </c>
      <c r="J30" s="156" t="s">
        <v>245</v>
      </c>
    </row>
    <row r="31" spans="1:11" ht="20.25" thickBot="1">
      <c r="A31" s="27" t="s">
        <v>149</v>
      </c>
      <c r="B31" s="136" t="s">
        <v>48</v>
      </c>
      <c r="C31" s="140">
        <v>38642</v>
      </c>
      <c r="D31" s="29">
        <v>37</v>
      </c>
      <c r="E31" s="25">
        <v>46</v>
      </c>
      <c r="F31" s="30">
        <v>51</v>
      </c>
      <c r="G31" s="17">
        <f>SUM(E31:F31)</f>
        <v>97</v>
      </c>
      <c r="H31" s="132">
        <f t="shared" ref="H31:H39" si="3">SUM(G31-D31)</f>
        <v>60</v>
      </c>
      <c r="I31" s="112">
        <v>70</v>
      </c>
      <c r="J31" s="117">
        <f t="shared" ref="J31:J39" si="4">(H31-I31)</f>
        <v>-10</v>
      </c>
      <c r="K31" s="22" t="s">
        <v>265</v>
      </c>
    </row>
    <row r="32" spans="1:11" ht="20.25" thickBot="1">
      <c r="A32" s="27" t="s">
        <v>262</v>
      </c>
      <c r="B32" s="136" t="s">
        <v>247</v>
      </c>
      <c r="C32" s="140">
        <v>38885</v>
      </c>
      <c r="D32" s="29">
        <v>33</v>
      </c>
      <c r="E32" s="25">
        <v>51</v>
      </c>
      <c r="F32" s="30">
        <v>46</v>
      </c>
      <c r="G32" s="17">
        <f>SUM(E32:F32)</f>
        <v>97</v>
      </c>
      <c r="H32" s="16">
        <f t="shared" si="3"/>
        <v>64</v>
      </c>
      <c r="I32" s="112">
        <v>71</v>
      </c>
      <c r="J32" s="117">
        <f t="shared" si="4"/>
        <v>-7</v>
      </c>
      <c r="K32" s="22" t="s">
        <v>266</v>
      </c>
    </row>
    <row r="33" spans="1:10" ht="19.5">
      <c r="A33" s="27" t="s">
        <v>263</v>
      </c>
      <c r="B33" s="136" t="s">
        <v>247</v>
      </c>
      <c r="C33" s="140">
        <v>38411</v>
      </c>
      <c r="D33" s="29">
        <v>20</v>
      </c>
      <c r="E33" s="25">
        <v>44</v>
      </c>
      <c r="F33" s="30">
        <v>43</v>
      </c>
      <c r="G33" s="17">
        <v>87</v>
      </c>
      <c r="H33" s="16">
        <f t="shared" si="3"/>
        <v>67</v>
      </c>
      <c r="I33" s="112">
        <v>71</v>
      </c>
      <c r="J33" s="117">
        <f t="shared" si="4"/>
        <v>-4</v>
      </c>
    </row>
    <row r="34" spans="1:10" ht="19.5">
      <c r="A34" s="27" t="s">
        <v>150</v>
      </c>
      <c r="B34" s="136" t="s">
        <v>48</v>
      </c>
      <c r="C34" s="140">
        <v>38979</v>
      </c>
      <c r="D34" s="29">
        <v>18</v>
      </c>
      <c r="E34" s="25">
        <v>45</v>
      </c>
      <c r="F34" s="30">
        <v>41</v>
      </c>
      <c r="G34" s="17">
        <f t="shared" ref="G34:G39" si="5">SUM(E34:F34)</f>
        <v>86</v>
      </c>
      <c r="H34" s="132">
        <f t="shared" si="3"/>
        <v>68</v>
      </c>
      <c r="I34" s="112">
        <v>70</v>
      </c>
      <c r="J34" s="117">
        <f t="shared" si="4"/>
        <v>-2</v>
      </c>
    </row>
    <row r="35" spans="1:10" ht="19.5">
      <c r="A35" s="27" t="s">
        <v>151</v>
      </c>
      <c r="B35" s="136" t="s">
        <v>48</v>
      </c>
      <c r="C35" s="140">
        <v>39239</v>
      </c>
      <c r="D35" s="29">
        <v>32</v>
      </c>
      <c r="E35" s="25">
        <v>53</v>
      </c>
      <c r="F35" s="30">
        <v>48</v>
      </c>
      <c r="G35" s="17">
        <f t="shared" si="5"/>
        <v>101</v>
      </c>
      <c r="H35" s="16">
        <f t="shared" si="3"/>
        <v>69</v>
      </c>
      <c r="I35" s="112">
        <v>70</v>
      </c>
      <c r="J35" s="117">
        <f t="shared" si="4"/>
        <v>-1</v>
      </c>
    </row>
    <row r="36" spans="1:10" ht="19.5">
      <c r="A36" s="27" t="s">
        <v>127</v>
      </c>
      <c r="B36" s="136" t="s">
        <v>119</v>
      </c>
      <c r="C36" s="140">
        <v>38821</v>
      </c>
      <c r="D36" s="29">
        <v>17</v>
      </c>
      <c r="E36" s="25">
        <f>5+4+5+4+7+6+4+6+6</f>
        <v>47</v>
      </c>
      <c r="F36" s="30">
        <f>8+5+4+5+5+3+5+5+6</f>
        <v>46</v>
      </c>
      <c r="G36" s="17">
        <f t="shared" si="5"/>
        <v>93</v>
      </c>
      <c r="H36" s="16">
        <f t="shared" si="3"/>
        <v>76</v>
      </c>
      <c r="I36" s="112">
        <v>73</v>
      </c>
      <c r="J36" s="117">
        <f t="shared" si="4"/>
        <v>3</v>
      </c>
    </row>
    <row r="37" spans="1:10" ht="19.5">
      <c r="A37" s="27" t="s">
        <v>80</v>
      </c>
      <c r="B37" s="136" t="s">
        <v>146</v>
      </c>
      <c r="C37" s="140">
        <v>38986</v>
      </c>
      <c r="D37" s="29">
        <v>5</v>
      </c>
      <c r="E37" s="25">
        <f>5+5+4+5+4+5+4+5+4</f>
        <v>41</v>
      </c>
      <c r="F37" s="30">
        <f>4+4+6+4+6+3+5+4+4</f>
        <v>40</v>
      </c>
      <c r="G37" s="17">
        <f t="shared" si="5"/>
        <v>81</v>
      </c>
      <c r="H37" s="16">
        <f t="shared" si="3"/>
        <v>76</v>
      </c>
      <c r="I37" s="112">
        <v>72</v>
      </c>
      <c r="J37" s="117">
        <f t="shared" si="4"/>
        <v>4</v>
      </c>
    </row>
    <row r="38" spans="1:10" ht="19.5">
      <c r="A38" s="27" t="s">
        <v>81</v>
      </c>
      <c r="B38" s="136" t="s">
        <v>146</v>
      </c>
      <c r="C38" s="140">
        <v>38873</v>
      </c>
      <c r="D38" s="29">
        <v>6</v>
      </c>
      <c r="E38" s="25">
        <f>5+3+4+4+5+6+3+4+6</f>
        <v>40</v>
      </c>
      <c r="F38" s="30">
        <f>5+6+5+4+6+3+5+5+5</f>
        <v>44</v>
      </c>
      <c r="G38" s="17">
        <f t="shared" si="5"/>
        <v>84</v>
      </c>
      <c r="H38" s="16">
        <f t="shared" si="3"/>
        <v>78</v>
      </c>
      <c r="I38" s="112">
        <v>72</v>
      </c>
      <c r="J38" s="117">
        <f t="shared" si="4"/>
        <v>6</v>
      </c>
    </row>
    <row r="39" spans="1:10" ht="20.25" thickBot="1">
      <c r="A39" s="99" t="s">
        <v>128</v>
      </c>
      <c r="B39" s="137" t="s">
        <v>119</v>
      </c>
      <c r="C39" s="141">
        <v>38803</v>
      </c>
      <c r="D39" s="100">
        <v>13</v>
      </c>
      <c r="E39" s="101">
        <f>4+7+7+3+5+7+5+5+5</f>
        <v>48</v>
      </c>
      <c r="F39" s="102">
        <f>7+5+4+7+5+3+7+9+6</f>
        <v>53</v>
      </c>
      <c r="G39" s="103">
        <f t="shared" si="5"/>
        <v>101</v>
      </c>
      <c r="H39" s="104">
        <f t="shared" si="3"/>
        <v>88</v>
      </c>
      <c r="I39" s="129">
        <v>73</v>
      </c>
      <c r="J39" s="119">
        <f t="shared" si="4"/>
        <v>15</v>
      </c>
    </row>
  </sheetData>
  <sortState ref="A11:J24">
    <sortCondition ref="J11:J24"/>
    <sortCondition ref="D11:D24"/>
  </sortState>
  <mergeCells count="10">
    <mergeCell ref="A29:H29"/>
    <mergeCell ref="A5:H5"/>
    <mergeCell ref="A9:H9"/>
    <mergeCell ref="A1:H1"/>
    <mergeCell ref="A2:H2"/>
    <mergeCell ref="A3:H3"/>
    <mergeCell ref="A4:H4"/>
    <mergeCell ref="A6:H6"/>
    <mergeCell ref="A8:H8"/>
    <mergeCell ref="A28:H28"/>
  </mergeCells>
  <phoneticPr fontId="0" type="noConversion"/>
  <conditionalFormatting sqref="J11:J26">
    <cfRule type="cellIs" dxfId="131" priority="85" operator="equal">
      <formula>0</formula>
    </cfRule>
    <cfRule type="cellIs" dxfId="130" priority="86" operator="lessThan">
      <formula>0</formula>
    </cfRule>
    <cfRule type="cellIs" dxfId="129" priority="87" operator="greaterThan">
      <formula>0</formula>
    </cfRule>
  </conditionalFormatting>
  <conditionalFormatting sqref="J31">
    <cfRule type="cellIs" dxfId="128" priority="73" operator="equal">
      <formula>0</formula>
    </cfRule>
    <cfRule type="cellIs" dxfId="127" priority="74" operator="lessThan">
      <formula>0</formula>
    </cfRule>
    <cfRule type="cellIs" dxfId="126" priority="75" operator="greaterThan">
      <formula>0</formula>
    </cfRule>
  </conditionalFormatting>
  <conditionalFormatting sqref="J32">
    <cfRule type="cellIs" dxfId="125" priority="70" operator="equal">
      <formula>0</formula>
    </cfRule>
    <cfRule type="cellIs" dxfId="124" priority="71" operator="lessThan">
      <formula>0</formula>
    </cfRule>
    <cfRule type="cellIs" dxfId="123" priority="72" operator="greaterThan">
      <formula>0</formula>
    </cfRule>
  </conditionalFormatting>
  <conditionalFormatting sqref="J32:J37">
    <cfRule type="cellIs" dxfId="122" priority="67" operator="equal">
      <formula>0</formula>
    </cfRule>
    <cfRule type="cellIs" dxfId="121" priority="68" operator="lessThan">
      <formula>0</formula>
    </cfRule>
    <cfRule type="cellIs" dxfId="120" priority="69" operator="greaterThan">
      <formula>0</formula>
    </cfRule>
  </conditionalFormatting>
  <conditionalFormatting sqref="J33">
    <cfRule type="cellIs" dxfId="119" priority="64" operator="equal">
      <formula>0</formula>
    </cfRule>
    <cfRule type="cellIs" dxfId="118" priority="65" operator="lessThan">
      <formula>0</formula>
    </cfRule>
    <cfRule type="cellIs" dxfId="117" priority="66" operator="greaterThan">
      <formula>0</formula>
    </cfRule>
  </conditionalFormatting>
  <conditionalFormatting sqref="J33:J37">
    <cfRule type="cellIs" dxfId="116" priority="61" operator="equal">
      <formula>0</formula>
    </cfRule>
    <cfRule type="cellIs" dxfId="115" priority="62" operator="lessThan">
      <formula>0</formula>
    </cfRule>
    <cfRule type="cellIs" dxfId="114" priority="63" operator="greaterThan">
      <formula>0</formula>
    </cfRule>
  </conditionalFormatting>
  <conditionalFormatting sqref="J38">
    <cfRule type="cellIs" dxfId="113" priority="46" operator="equal">
      <formula>0</formula>
    </cfRule>
    <cfRule type="cellIs" dxfId="112" priority="47" operator="lessThan">
      <formula>0</formula>
    </cfRule>
    <cfRule type="cellIs" dxfId="111" priority="48" operator="greaterThan">
      <formula>0</formula>
    </cfRule>
  </conditionalFormatting>
  <conditionalFormatting sqref="J38">
    <cfRule type="cellIs" dxfId="110" priority="43" operator="equal">
      <formula>0</formula>
    </cfRule>
    <cfRule type="cellIs" dxfId="109" priority="44" operator="lessThan">
      <formula>0</formula>
    </cfRule>
    <cfRule type="cellIs" dxfId="108" priority="45" operator="greaterThan">
      <formula>0</formula>
    </cfRule>
  </conditionalFormatting>
  <conditionalFormatting sqref="J39">
    <cfRule type="cellIs" dxfId="107" priority="40" operator="equal">
      <formula>0</formula>
    </cfRule>
    <cfRule type="cellIs" dxfId="106" priority="41" operator="lessThan">
      <formula>0</formula>
    </cfRule>
    <cfRule type="cellIs" dxfId="105" priority="42" operator="greaterThan">
      <formula>0</formula>
    </cfRule>
  </conditionalFormatting>
  <conditionalFormatting sqref="J39">
    <cfRule type="cellIs" dxfId="104" priority="37" operator="equal">
      <formula>0</formula>
    </cfRule>
    <cfRule type="cellIs" dxfId="103" priority="38" operator="lessThan">
      <formula>0</formula>
    </cfRule>
    <cfRule type="cellIs" dxfId="102" priority="39" operator="greaterThan">
      <formula>0</formula>
    </cfRule>
  </conditionalFormatting>
  <conditionalFormatting sqref="J38">
    <cfRule type="cellIs" dxfId="101" priority="34" operator="equal">
      <formula>0</formula>
    </cfRule>
    <cfRule type="cellIs" dxfId="100" priority="35" operator="lessThan">
      <formula>0</formula>
    </cfRule>
    <cfRule type="cellIs" dxfId="99" priority="36" operator="greaterThan">
      <formula>0</formula>
    </cfRule>
  </conditionalFormatting>
  <conditionalFormatting sqref="J38">
    <cfRule type="cellIs" dxfId="98" priority="31" operator="equal">
      <formula>0</formula>
    </cfRule>
    <cfRule type="cellIs" dxfId="97" priority="32" operator="lessThan">
      <formula>0</formula>
    </cfRule>
    <cfRule type="cellIs" dxfId="96" priority="33" operator="greaterThan">
      <formula>0</formula>
    </cfRule>
  </conditionalFormatting>
  <conditionalFormatting sqref="J39">
    <cfRule type="cellIs" dxfId="95" priority="28" operator="equal">
      <formula>0</formula>
    </cfRule>
    <cfRule type="cellIs" dxfId="94" priority="29" operator="lessThan">
      <formula>0</formula>
    </cfRule>
    <cfRule type="cellIs" dxfId="93" priority="30" operator="greaterThan">
      <formula>0</formula>
    </cfRule>
  </conditionalFormatting>
  <conditionalFormatting sqref="J39">
    <cfRule type="cellIs" dxfId="92" priority="25" operator="equal">
      <formula>0</formula>
    </cfRule>
    <cfRule type="cellIs" dxfId="91" priority="26" operator="lessThan">
      <formula>0</formula>
    </cfRule>
    <cfRule type="cellIs" dxfId="90" priority="27" operator="greaterThan">
      <formula>0</formula>
    </cfRule>
  </conditionalFormatting>
  <conditionalFormatting sqref="J25:J26">
    <cfRule type="cellIs" dxfId="89" priority="4" operator="equal">
      <formula>0</formula>
    </cfRule>
    <cfRule type="cellIs" dxfId="88" priority="5" operator="lessThan">
      <formula>0</formula>
    </cfRule>
    <cfRule type="cellIs" dxfId="87" priority="6" operator="greaterThan">
      <formula>0</formula>
    </cfRule>
  </conditionalFormatting>
  <conditionalFormatting sqref="J25:J26">
    <cfRule type="cellIs" dxfId="86" priority="1" operator="equal">
      <formula>0</formula>
    </cfRule>
    <cfRule type="cellIs" dxfId="85" priority="2" operator="lessThan">
      <formula>0</formula>
    </cfRule>
    <cfRule type="cellIs" dxfId="84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zoomScale="70" zoomScaleNormal="70" workbookViewId="0">
      <selection sqref="A1:H1"/>
    </sheetView>
  </sheetViews>
  <sheetFormatPr baseColWidth="10" defaultRowHeight="18.75"/>
  <cols>
    <col min="1" max="1" width="27.85546875" style="1" customWidth="1"/>
    <col min="2" max="2" width="8.85546875" style="21" bestFit="1" customWidth="1"/>
    <col min="3" max="3" width="10.7109375" style="21" bestFit="1" customWidth="1"/>
    <col min="4" max="4" width="7.85546875" style="2" bestFit="1" customWidth="1"/>
    <col min="5" max="8" width="6.7109375" style="2" customWidth="1"/>
    <col min="9" max="9" width="9.7109375" style="2" customWidth="1"/>
    <col min="10" max="10" width="6.7109375" style="2" customWidth="1"/>
    <col min="11" max="11" width="4.42578125" style="1" bestFit="1" customWidth="1"/>
    <col min="12" max="16384" width="11.42578125" style="1"/>
  </cols>
  <sheetData>
    <row r="1" spans="1:11" ht="30.75">
      <c r="A1" s="174" t="str">
        <f>JUV!A1</f>
        <v>2° TORNEO VIRTUAL</v>
      </c>
      <c r="B1" s="174"/>
      <c r="C1" s="174"/>
      <c r="D1" s="174"/>
      <c r="E1" s="174"/>
      <c r="F1" s="174"/>
      <c r="G1" s="174"/>
      <c r="H1" s="174"/>
      <c r="I1" s="94"/>
      <c r="J1" s="94"/>
    </row>
    <row r="2" spans="1:11" ht="23.25">
      <c r="A2" s="178" t="str">
        <f>JUV!A2</f>
        <v>CLUBES DE LA FEDERACION</v>
      </c>
      <c r="B2" s="178"/>
      <c r="C2" s="178"/>
      <c r="D2" s="178"/>
      <c r="E2" s="178"/>
      <c r="F2" s="178"/>
      <c r="G2" s="178"/>
      <c r="H2" s="178"/>
      <c r="I2" s="98"/>
      <c r="J2" s="98"/>
    </row>
    <row r="3" spans="1:11" ht="19.5">
      <c r="A3" s="175" t="s">
        <v>7</v>
      </c>
      <c r="B3" s="175"/>
      <c r="C3" s="175"/>
      <c r="D3" s="175"/>
      <c r="E3" s="175"/>
      <c r="F3" s="175"/>
      <c r="G3" s="175"/>
      <c r="H3" s="175"/>
      <c r="I3" s="97"/>
      <c r="J3" s="97"/>
    </row>
    <row r="4" spans="1:11" ht="26.25">
      <c r="A4" s="176" t="s">
        <v>11</v>
      </c>
      <c r="B4" s="176"/>
      <c r="C4" s="176"/>
      <c r="D4" s="176"/>
      <c r="E4" s="176"/>
      <c r="F4" s="176"/>
      <c r="G4" s="176"/>
      <c r="H4" s="176"/>
      <c r="I4" s="97"/>
      <c r="J4" s="97"/>
    </row>
    <row r="5" spans="1:11" ht="19.5">
      <c r="A5" s="177" t="str">
        <f>JUV!A5</f>
        <v>DOS VUELTAS DE 9 HOYOS MEDAL PLAY</v>
      </c>
      <c r="B5" s="177"/>
      <c r="C5" s="177"/>
      <c r="D5" s="177"/>
      <c r="E5" s="177"/>
      <c r="F5" s="177"/>
      <c r="G5" s="177"/>
      <c r="H5" s="177"/>
      <c r="I5" s="97"/>
      <c r="J5" s="97"/>
    </row>
    <row r="6" spans="1:11" ht="19.5">
      <c r="A6" s="171" t="str">
        <f>JUV!A6</f>
        <v>10  AL 13 DE OCTUBRE DE 2020</v>
      </c>
      <c r="B6" s="171"/>
      <c r="C6" s="171"/>
      <c r="D6" s="171"/>
      <c r="E6" s="171"/>
      <c r="F6" s="171"/>
      <c r="G6" s="171"/>
      <c r="H6" s="171"/>
      <c r="I6" s="93"/>
      <c r="J6" s="93"/>
    </row>
    <row r="7" spans="1:11" ht="20.25" thickBot="1">
      <c r="A7" s="83"/>
      <c r="B7" s="133"/>
      <c r="C7" s="133"/>
      <c r="D7" s="83"/>
      <c r="E7" s="83"/>
      <c r="F7" s="83"/>
      <c r="G7" s="83"/>
      <c r="H7" s="83"/>
      <c r="I7" s="93"/>
      <c r="J7" s="93"/>
    </row>
    <row r="8" spans="1:11" ht="20.25" thickBot="1">
      <c r="A8" s="186" t="str">
        <f>JUV!A8</f>
        <v>BOCHAS BLANCAS</v>
      </c>
      <c r="B8" s="187"/>
      <c r="C8" s="187"/>
      <c r="D8" s="187"/>
      <c r="E8" s="187"/>
      <c r="F8" s="187"/>
      <c r="G8" s="187"/>
      <c r="H8" s="188"/>
      <c r="I8" s="1"/>
      <c r="J8" s="1"/>
    </row>
    <row r="9" spans="1:11" ht="19.5" thickBot="1">
      <c r="A9" s="168" t="s">
        <v>46</v>
      </c>
      <c r="B9" s="169"/>
      <c r="C9" s="169"/>
      <c r="D9" s="169"/>
      <c r="E9" s="169"/>
      <c r="F9" s="169"/>
      <c r="G9" s="169"/>
      <c r="H9" s="169"/>
      <c r="I9" s="153" t="s">
        <v>242</v>
      </c>
      <c r="J9" s="154" t="s">
        <v>244</v>
      </c>
    </row>
    <row r="10" spans="1:11" s="84" customFormat="1" ht="20.25" thickBot="1">
      <c r="A10" s="4" t="s">
        <v>0</v>
      </c>
      <c r="B10" s="134" t="s">
        <v>9</v>
      </c>
      <c r="C10" s="134" t="s">
        <v>19</v>
      </c>
      <c r="D10" s="4" t="s">
        <v>1</v>
      </c>
      <c r="E10" s="4" t="s">
        <v>2</v>
      </c>
      <c r="F10" s="14" t="s">
        <v>3</v>
      </c>
      <c r="G10" s="13" t="s">
        <v>4</v>
      </c>
      <c r="H10" s="109" t="s">
        <v>5</v>
      </c>
      <c r="I10" s="155" t="s">
        <v>243</v>
      </c>
      <c r="J10" s="156" t="s">
        <v>245</v>
      </c>
    </row>
    <row r="11" spans="1:11" ht="20.25" thickBot="1">
      <c r="A11" s="122" t="s">
        <v>55</v>
      </c>
      <c r="B11" s="135" t="s">
        <v>50</v>
      </c>
      <c r="C11" s="139">
        <v>39866</v>
      </c>
      <c r="D11" s="123">
        <v>29</v>
      </c>
      <c r="E11" s="124">
        <f>5+6+5+3+6+4+5+5+5</f>
        <v>44</v>
      </c>
      <c r="F11" s="125">
        <f>6+6+5+6+6+3+5+4+7</f>
        <v>48</v>
      </c>
      <c r="G11" s="126">
        <f t="shared" ref="G11:G21" si="0">SUM(E11:F11)</f>
        <v>92</v>
      </c>
      <c r="H11" s="157">
        <f t="shared" ref="H11:H21" si="1">SUM(G11-D11)</f>
        <v>63</v>
      </c>
      <c r="I11" s="127">
        <v>71</v>
      </c>
      <c r="J11" s="128">
        <f t="shared" ref="J11:J21" si="2">(H11-I11)</f>
        <v>-8</v>
      </c>
      <c r="K11" s="105" t="s">
        <v>265</v>
      </c>
    </row>
    <row r="12" spans="1:11" ht="20.25" thickBot="1">
      <c r="A12" s="27" t="s">
        <v>56</v>
      </c>
      <c r="B12" s="136" t="s">
        <v>50</v>
      </c>
      <c r="C12" s="140">
        <v>39703</v>
      </c>
      <c r="D12" s="29">
        <v>29</v>
      </c>
      <c r="E12" s="25">
        <f>4+6+7+4+5+5+4+4+5</f>
        <v>44</v>
      </c>
      <c r="F12" s="30">
        <f>5+6+8+8+5+4+7+3+7</f>
        <v>53</v>
      </c>
      <c r="G12" s="17">
        <f t="shared" si="0"/>
        <v>97</v>
      </c>
      <c r="H12" s="132">
        <f t="shared" si="1"/>
        <v>68</v>
      </c>
      <c r="I12" s="112">
        <v>71</v>
      </c>
      <c r="J12" s="117">
        <f t="shared" si="2"/>
        <v>-3</v>
      </c>
      <c r="K12" s="105" t="s">
        <v>266</v>
      </c>
    </row>
    <row r="13" spans="1:11" ht="19.5">
      <c r="A13" s="27" t="s">
        <v>57</v>
      </c>
      <c r="B13" s="136" t="s">
        <v>50</v>
      </c>
      <c r="C13" s="140">
        <v>39469</v>
      </c>
      <c r="D13" s="29">
        <v>20</v>
      </c>
      <c r="E13" s="25">
        <f>4+5+7+4+7+4+5+5+5</f>
        <v>46</v>
      </c>
      <c r="F13" s="30">
        <f>4+5+4+7+6+4+4+4+6</f>
        <v>44</v>
      </c>
      <c r="G13" s="17">
        <f t="shared" si="0"/>
        <v>90</v>
      </c>
      <c r="H13" s="16">
        <f t="shared" si="1"/>
        <v>70</v>
      </c>
      <c r="I13" s="112">
        <v>71</v>
      </c>
      <c r="J13" s="117">
        <f t="shared" si="2"/>
        <v>-1</v>
      </c>
    </row>
    <row r="14" spans="1:11" ht="19.5">
      <c r="A14" s="27" t="s">
        <v>153</v>
      </c>
      <c r="B14" s="136" t="s">
        <v>112</v>
      </c>
      <c r="C14" s="140">
        <v>39688</v>
      </c>
      <c r="D14" s="29">
        <v>27</v>
      </c>
      <c r="E14" s="25">
        <f>6+7+4+7+4+6+5+5+5</f>
        <v>49</v>
      </c>
      <c r="F14" s="30">
        <f>6+5+6+5+5+6+5+7+4</f>
        <v>49</v>
      </c>
      <c r="G14" s="17">
        <f t="shared" si="0"/>
        <v>98</v>
      </c>
      <c r="H14" s="16">
        <f t="shared" si="1"/>
        <v>71</v>
      </c>
      <c r="I14" s="112">
        <v>71</v>
      </c>
      <c r="J14" s="117">
        <f t="shared" si="2"/>
        <v>0</v>
      </c>
    </row>
    <row r="15" spans="1:11" ht="19.5">
      <c r="A15" s="27" t="s">
        <v>78</v>
      </c>
      <c r="B15" s="136" t="s">
        <v>146</v>
      </c>
      <c r="C15" s="140">
        <v>39257</v>
      </c>
      <c r="D15" s="29">
        <v>16</v>
      </c>
      <c r="E15" s="25">
        <v>46</v>
      </c>
      <c r="F15" s="30">
        <v>45</v>
      </c>
      <c r="G15" s="17">
        <f t="shared" si="0"/>
        <v>91</v>
      </c>
      <c r="H15" s="16">
        <f t="shared" si="1"/>
        <v>75</v>
      </c>
      <c r="I15" s="112">
        <v>72</v>
      </c>
      <c r="J15" s="117">
        <f t="shared" si="2"/>
        <v>3</v>
      </c>
    </row>
    <row r="16" spans="1:11" ht="19.5">
      <c r="A16" s="27" t="s">
        <v>58</v>
      </c>
      <c r="B16" s="136" t="s">
        <v>50</v>
      </c>
      <c r="C16" s="140">
        <v>39699</v>
      </c>
      <c r="D16" s="29">
        <v>23</v>
      </c>
      <c r="E16" s="25">
        <f>5+5+6+4+6+5+6+6+4</f>
        <v>47</v>
      </c>
      <c r="F16" s="30">
        <f>6+5+9+6+6+3+5+4+6</f>
        <v>50</v>
      </c>
      <c r="G16" s="17">
        <f t="shared" si="0"/>
        <v>97</v>
      </c>
      <c r="H16" s="16">
        <f t="shared" si="1"/>
        <v>74</v>
      </c>
      <c r="I16" s="112">
        <v>71</v>
      </c>
      <c r="J16" s="117">
        <f t="shared" si="2"/>
        <v>3</v>
      </c>
    </row>
    <row r="17" spans="1:10" ht="19.5">
      <c r="A17" s="27" t="s">
        <v>264</v>
      </c>
      <c r="B17" s="136" t="s">
        <v>247</v>
      </c>
      <c r="C17" s="140">
        <v>39105</v>
      </c>
      <c r="D17" s="29">
        <v>5</v>
      </c>
      <c r="E17" s="25">
        <v>45</v>
      </c>
      <c r="F17" s="30">
        <v>37</v>
      </c>
      <c r="G17" s="17">
        <f t="shared" si="0"/>
        <v>82</v>
      </c>
      <c r="H17" s="16">
        <f t="shared" si="1"/>
        <v>77</v>
      </c>
      <c r="I17" s="112">
        <v>71</v>
      </c>
      <c r="J17" s="117">
        <f t="shared" si="2"/>
        <v>6</v>
      </c>
    </row>
    <row r="18" spans="1:10" ht="19.5">
      <c r="A18" s="27" t="s">
        <v>145</v>
      </c>
      <c r="B18" s="136" t="s">
        <v>119</v>
      </c>
      <c r="C18" s="140">
        <v>39205</v>
      </c>
      <c r="D18" s="29">
        <v>14</v>
      </c>
      <c r="E18" s="25">
        <f>4+7+5+3+5+7+4+8+5</f>
        <v>48</v>
      </c>
      <c r="F18" s="30">
        <f>6+5+4+4+5+4+4+6+5</f>
        <v>43</v>
      </c>
      <c r="G18" s="17">
        <f t="shared" si="0"/>
        <v>91</v>
      </c>
      <c r="H18" s="16">
        <f t="shared" si="1"/>
        <v>77</v>
      </c>
      <c r="I18" s="112">
        <v>71</v>
      </c>
      <c r="J18" s="117">
        <f t="shared" si="2"/>
        <v>6</v>
      </c>
    </row>
    <row r="19" spans="1:10" ht="19.5">
      <c r="A19" s="27" t="s">
        <v>152</v>
      </c>
      <c r="B19" s="136" t="s">
        <v>112</v>
      </c>
      <c r="C19" s="140">
        <v>39183</v>
      </c>
      <c r="D19" s="29">
        <v>22</v>
      </c>
      <c r="E19" s="25">
        <f>7+6+6+5+5+7+5+4+5</f>
        <v>50</v>
      </c>
      <c r="F19" s="30">
        <f>7+4+5+6+4+7+5+9+4</f>
        <v>51</v>
      </c>
      <c r="G19" s="17">
        <f t="shared" si="0"/>
        <v>101</v>
      </c>
      <c r="H19" s="16">
        <f t="shared" si="1"/>
        <v>79</v>
      </c>
      <c r="I19" s="112">
        <v>71</v>
      </c>
      <c r="J19" s="117">
        <f t="shared" si="2"/>
        <v>8</v>
      </c>
    </row>
    <row r="20" spans="1:10" ht="19.5">
      <c r="A20" s="27" t="s">
        <v>79</v>
      </c>
      <c r="B20" s="136" t="s">
        <v>146</v>
      </c>
      <c r="C20" s="140">
        <v>39088</v>
      </c>
      <c r="D20" s="29">
        <v>24</v>
      </c>
      <c r="E20" s="25">
        <v>52</v>
      </c>
      <c r="F20" s="30">
        <v>53</v>
      </c>
      <c r="G20" s="17">
        <f t="shared" si="0"/>
        <v>105</v>
      </c>
      <c r="H20" s="16">
        <f t="shared" si="1"/>
        <v>81</v>
      </c>
      <c r="I20" s="112">
        <v>72</v>
      </c>
      <c r="J20" s="117">
        <f t="shared" si="2"/>
        <v>9</v>
      </c>
    </row>
    <row r="21" spans="1:10" ht="19.5">
      <c r="A21" s="27" t="s">
        <v>126</v>
      </c>
      <c r="B21" s="136" t="s">
        <v>119</v>
      </c>
      <c r="C21" s="140">
        <v>39770</v>
      </c>
      <c r="D21" s="29">
        <v>21</v>
      </c>
      <c r="E21" s="25">
        <f>5+6+5+6+4+7+4+5+6</f>
        <v>48</v>
      </c>
      <c r="F21" s="30">
        <f>7+3+4+6+6+5+4+12+8</f>
        <v>55</v>
      </c>
      <c r="G21" s="17">
        <f t="shared" si="0"/>
        <v>103</v>
      </c>
      <c r="H21" s="16">
        <f t="shared" si="1"/>
        <v>82</v>
      </c>
      <c r="I21" s="112">
        <v>71</v>
      </c>
      <c r="J21" s="117">
        <f t="shared" si="2"/>
        <v>11</v>
      </c>
    </row>
    <row r="22" spans="1:10" ht="19.5">
      <c r="A22" s="158" t="s">
        <v>286</v>
      </c>
      <c r="B22" s="136" t="s">
        <v>48</v>
      </c>
      <c r="C22" s="140">
        <v>39381</v>
      </c>
      <c r="D22" s="145" t="s">
        <v>10</v>
      </c>
      <c r="E22" s="25" t="s">
        <v>5</v>
      </c>
      <c r="F22" s="30" t="s">
        <v>259</v>
      </c>
      <c r="G22" s="17" t="s">
        <v>260</v>
      </c>
      <c r="H22" s="146" t="s">
        <v>10</v>
      </c>
      <c r="I22" s="147" t="s">
        <v>10</v>
      </c>
      <c r="J22" s="148" t="s">
        <v>10</v>
      </c>
    </row>
    <row r="23" spans="1:10" ht="19.5">
      <c r="A23" s="158" t="s">
        <v>287</v>
      </c>
      <c r="B23" s="136" t="s">
        <v>48</v>
      </c>
      <c r="C23" s="140">
        <v>39499</v>
      </c>
      <c r="D23" s="145" t="s">
        <v>10</v>
      </c>
      <c r="E23" s="25" t="s">
        <v>5</v>
      </c>
      <c r="F23" s="30" t="s">
        <v>259</v>
      </c>
      <c r="G23" s="17" t="s">
        <v>260</v>
      </c>
      <c r="H23" s="146" t="s">
        <v>10</v>
      </c>
      <c r="I23" s="147" t="s">
        <v>10</v>
      </c>
      <c r="J23" s="148" t="s">
        <v>10</v>
      </c>
    </row>
    <row r="24" spans="1:10" ht="20.25" thickBot="1">
      <c r="A24" s="159" t="s">
        <v>288</v>
      </c>
      <c r="B24" s="137" t="s">
        <v>48</v>
      </c>
      <c r="C24" s="141">
        <v>43361</v>
      </c>
      <c r="D24" s="149" t="s">
        <v>10</v>
      </c>
      <c r="E24" s="101" t="s">
        <v>5</v>
      </c>
      <c r="F24" s="102" t="s">
        <v>259</v>
      </c>
      <c r="G24" s="103" t="s">
        <v>260</v>
      </c>
      <c r="H24" s="150" t="s">
        <v>10</v>
      </c>
      <c r="I24" s="151" t="s">
        <v>10</v>
      </c>
      <c r="J24" s="152" t="s">
        <v>10</v>
      </c>
    </row>
  </sheetData>
  <sortState ref="A11:J22">
    <sortCondition ref="J11:J22"/>
    <sortCondition ref="D11:D22"/>
  </sortState>
  <mergeCells count="8">
    <mergeCell ref="A8:H8"/>
    <mergeCell ref="A9:H9"/>
    <mergeCell ref="A1:H1"/>
    <mergeCell ref="A2:H2"/>
    <mergeCell ref="A3:H3"/>
    <mergeCell ref="A4:H4"/>
    <mergeCell ref="A5:H5"/>
    <mergeCell ref="A6:H6"/>
  </mergeCells>
  <conditionalFormatting sqref="J11:J19">
    <cfRule type="cellIs" dxfId="83" priority="94" operator="equal">
      <formula>0</formula>
    </cfRule>
    <cfRule type="cellIs" dxfId="82" priority="95" operator="lessThan">
      <formula>0</formula>
    </cfRule>
    <cfRule type="cellIs" dxfId="81" priority="96" operator="greaterThan">
      <formula>0</formula>
    </cfRule>
  </conditionalFormatting>
  <conditionalFormatting sqref="J20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J20">
    <cfRule type="cellIs" dxfId="77" priority="76" operator="equal">
      <formula>0</formula>
    </cfRule>
    <cfRule type="cellIs" dxfId="76" priority="77" operator="lessThan">
      <formula>0</formula>
    </cfRule>
    <cfRule type="cellIs" dxfId="75" priority="78" operator="greaterThan">
      <formula>0</formula>
    </cfRule>
  </conditionalFormatting>
  <conditionalFormatting sqref="J21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J21">
    <cfRule type="cellIs" dxfId="71" priority="70" operator="equal">
      <formula>0</formula>
    </cfRule>
    <cfRule type="cellIs" dxfId="70" priority="71" operator="lessThan">
      <formula>0</formula>
    </cfRule>
    <cfRule type="cellIs" dxfId="69" priority="72" operator="greaterThan">
      <formula>0</formula>
    </cfRule>
  </conditionalFormatting>
  <conditionalFormatting sqref="J20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J20">
    <cfRule type="cellIs" dxfId="65" priority="64" operator="equal">
      <formula>0</formula>
    </cfRule>
    <cfRule type="cellIs" dxfId="64" priority="65" operator="lessThan">
      <formula>0</formula>
    </cfRule>
    <cfRule type="cellIs" dxfId="63" priority="66" operator="greaterThan">
      <formula>0</formula>
    </cfRule>
  </conditionalFormatting>
  <conditionalFormatting sqref="J21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J21">
    <cfRule type="cellIs" dxfId="59" priority="58" operator="equal">
      <formula>0</formula>
    </cfRule>
    <cfRule type="cellIs" dxfId="58" priority="59" operator="lessThan">
      <formula>0</formula>
    </cfRule>
    <cfRule type="cellIs" dxfId="57" priority="60" operator="greaterThan">
      <formula>0</formula>
    </cfRule>
  </conditionalFormatting>
  <conditionalFormatting sqref="J21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J21">
    <cfRule type="cellIs" dxfId="53" priority="52" operator="equal">
      <formula>0</formula>
    </cfRule>
    <cfRule type="cellIs" dxfId="52" priority="53" operator="lessThan">
      <formula>0</formula>
    </cfRule>
    <cfRule type="cellIs" dxfId="51" priority="54" operator="greaterThan">
      <formula>0</formula>
    </cfRule>
  </conditionalFormatting>
  <conditionalFormatting sqref="J21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J21">
    <cfRule type="cellIs" dxfId="47" priority="46" operator="equal">
      <formula>0</formula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J2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J22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J22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22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J2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J23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J23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J23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J24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J24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J24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J24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J22:J24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J22:J24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J22:J24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9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9" ht="30.75">
      <c r="A1" s="174" t="str">
        <f>JUV!A1</f>
        <v>2° TORNEO VIRTUAL</v>
      </c>
      <c r="B1" s="174"/>
      <c r="C1" s="174"/>
      <c r="D1" s="174"/>
    </row>
    <row r="2" spans="1:9" ht="23.25">
      <c r="A2" s="178" t="str">
        <f>JUV!A2</f>
        <v>CLUBES DE LA FEDERACION</v>
      </c>
      <c r="B2" s="178"/>
      <c r="C2" s="178"/>
      <c r="D2" s="178"/>
    </row>
    <row r="3" spans="1:9" ht="19.5">
      <c r="A3" s="175" t="s">
        <v>7</v>
      </c>
      <c r="B3" s="175"/>
      <c r="C3" s="175"/>
      <c r="D3" s="175"/>
    </row>
    <row r="4" spans="1:9" ht="26.25">
      <c r="A4" s="176" t="s">
        <v>12</v>
      </c>
      <c r="B4" s="176"/>
      <c r="C4" s="176"/>
      <c r="D4" s="176"/>
    </row>
    <row r="5" spans="1:9" ht="19.5">
      <c r="A5" s="177" t="s">
        <v>14</v>
      </c>
      <c r="B5" s="177"/>
      <c r="C5" s="177"/>
      <c r="D5" s="177"/>
    </row>
    <row r="6" spans="1:9" ht="19.5">
      <c r="A6" s="171" t="str">
        <f>JUV!A6</f>
        <v>10  AL 13 DE OCTUBRE DE 2020</v>
      </c>
      <c r="B6" s="171"/>
      <c r="C6" s="171"/>
      <c r="D6" s="171"/>
    </row>
    <row r="7" spans="1:9" ht="20.25" thickBot="1">
      <c r="A7" s="66"/>
      <c r="B7" s="66"/>
      <c r="C7" s="66"/>
      <c r="D7" s="66"/>
    </row>
    <row r="8" spans="1:9" ht="20.25" thickBot="1">
      <c r="A8" s="180" t="s">
        <v>27</v>
      </c>
      <c r="B8" s="181"/>
      <c r="C8" s="181"/>
      <c r="D8" s="182"/>
    </row>
    <row r="9" spans="1:9" ht="20.25" thickBot="1">
      <c r="A9" s="189" t="s">
        <v>28</v>
      </c>
      <c r="B9" s="190"/>
      <c r="C9" s="190"/>
      <c r="D9" s="191"/>
    </row>
    <row r="10" spans="1:9" s="86" customFormat="1" ht="18.95" customHeight="1" thickBot="1">
      <c r="A10" s="4" t="s">
        <v>0</v>
      </c>
      <c r="B10" s="5" t="s">
        <v>9</v>
      </c>
      <c r="C10" s="5" t="s">
        <v>19</v>
      </c>
      <c r="D10" s="4" t="s">
        <v>8</v>
      </c>
      <c r="F10" s="21"/>
    </row>
    <row r="11" spans="1:9" ht="20.25" thickBot="1">
      <c r="A11" s="27" t="s">
        <v>154</v>
      </c>
      <c r="B11" s="87" t="s">
        <v>48</v>
      </c>
      <c r="C11" s="26">
        <v>39104</v>
      </c>
      <c r="D11" s="28">
        <v>43</v>
      </c>
      <c r="E11" s="63" t="s">
        <v>18</v>
      </c>
      <c r="F11" s="62"/>
      <c r="G11" s="62"/>
    </row>
    <row r="12" spans="1:9" ht="20.25" thickBot="1">
      <c r="A12" s="27" t="s">
        <v>218</v>
      </c>
      <c r="B12" s="87" t="s">
        <v>202</v>
      </c>
      <c r="C12" s="26">
        <v>39593</v>
      </c>
      <c r="D12" s="28">
        <v>46</v>
      </c>
      <c r="E12" s="63" t="s">
        <v>20</v>
      </c>
      <c r="F12" s="65"/>
      <c r="G12" s="65"/>
      <c r="H12" s="65"/>
      <c r="I12" s="65"/>
    </row>
    <row r="13" spans="1:9" ht="19.5">
      <c r="A13" s="27" t="s">
        <v>129</v>
      </c>
      <c r="B13" s="87" t="s">
        <v>119</v>
      </c>
      <c r="C13" s="26">
        <v>39755</v>
      </c>
      <c r="D13" s="28">
        <f>5+6+4+5+6+6+4+6+5</f>
        <v>47</v>
      </c>
    </row>
    <row r="14" spans="1:9" ht="19.5">
      <c r="A14" s="27" t="s">
        <v>59</v>
      </c>
      <c r="B14" s="87" t="s">
        <v>50</v>
      </c>
      <c r="C14" s="26">
        <v>39794</v>
      </c>
      <c r="D14" s="28">
        <f>5+8+5+4+8+5+6+4+5</f>
        <v>50</v>
      </c>
    </row>
    <row r="15" spans="1:9" ht="19.5">
      <c r="A15" s="27" t="s">
        <v>155</v>
      </c>
      <c r="B15" s="87" t="s">
        <v>48</v>
      </c>
      <c r="C15" s="26">
        <v>39083</v>
      </c>
      <c r="D15" s="28">
        <v>55</v>
      </c>
    </row>
    <row r="16" spans="1:9" ht="19.5">
      <c r="A16" s="27" t="s">
        <v>88</v>
      </c>
      <c r="B16" s="87" t="s">
        <v>146</v>
      </c>
      <c r="C16" s="26">
        <v>39531</v>
      </c>
      <c r="D16" s="28">
        <f>7+6+6+6+5+10+5+5+6</f>
        <v>56</v>
      </c>
    </row>
    <row r="17" spans="1:4" ht="19.5">
      <c r="A17" s="27" t="s">
        <v>156</v>
      </c>
      <c r="B17" s="87" t="s">
        <v>48</v>
      </c>
      <c r="C17" s="26">
        <v>39608</v>
      </c>
      <c r="D17" s="28">
        <v>58</v>
      </c>
    </row>
    <row r="18" spans="1:4" ht="19.5">
      <c r="A18" s="27" t="s">
        <v>87</v>
      </c>
      <c r="B18" s="87" t="s">
        <v>146</v>
      </c>
      <c r="C18" s="26">
        <v>39762</v>
      </c>
      <c r="D18" s="28">
        <f>9+5+7+7+7+7+5+7+6</f>
        <v>60</v>
      </c>
    </row>
    <row r="19" spans="1:4" ht="19.5">
      <c r="A19" s="27" t="s">
        <v>130</v>
      </c>
      <c r="B19" s="87" t="s">
        <v>119</v>
      </c>
      <c r="C19" s="26">
        <v>39785</v>
      </c>
      <c r="D19" s="28">
        <f>6+7+8+5+7+8+4+8+7</f>
        <v>60</v>
      </c>
    </row>
    <row r="20" spans="1:4" ht="19.5">
      <c r="A20" s="27" t="s">
        <v>85</v>
      </c>
      <c r="B20" s="87" t="s">
        <v>146</v>
      </c>
      <c r="C20" s="26">
        <v>39741</v>
      </c>
      <c r="D20" s="28">
        <f>6+5+7+6+7+8+8+7+7</f>
        <v>61</v>
      </c>
    </row>
    <row r="21" spans="1:4" ht="19.5">
      <c r="A21" s="27" t="s">
        <v>157</v>
      </c>
      <c r="B21" s="87" t="s">
        <v>48</v>
      </c>
      <c r="C21" s="26">
        <v>39095</v>
      </c>
      <c r="D21" s="28">
        <v>64</v>
      </c>
    </row>
    <row r="22" spans="1:4" ht="19.5">
      <c r="A22" s="27" t="s">
        <v>60</v>
      </c>
      <c r="B22" s="87" t="s">
        <v>50</v>
      </c>
      <c r="C22" s="26"/>
      <c r="D22" s="28">
        <f>8+6+8+9+7+8+5+5+8</f>
        <v>64</v>
      </c>
    </row>
    <row r="23" spans="1:4" ht="19.5">
      <c r="A23" s="27" t="s">
        <v>267</v>
      </c>
      <c r="B23" s="87" t="s">
        <v>247</v>
      </c>
      <c r="C23" s="26">
        <v>39324</v>
      </c>
      <c r="D23" s="28">
        <v>66</v>
      </c>
    </row>
    <row r="24" spans="1:4" ht="19.5">
      <c r="A24" s="27" t="s">
        <v>83</v>
      </c>
      <c r="B24" s="87" t="s">
        <v>146</v>
      </c>
      <c r="C24" s="26">
        <v>39657</v>
      </c>
      <c r="D24" s="28">
        <f>8+4+9+9+10+10+6+9+10</f>
        <v>75</v>
      </c>
    </row>
    <row r="25" spans="1:4" ht="19.5">
      <c r="A25" s="27" t="s">
        <v>113</v>
      </c>
      <c r="B25" s="87" t="s">
        <v>112</v>
      </c>
      <c r="C25" s="26">
        <v>39412</v>
      </c>
      <c r="D25" s="28">
        <f>10+7+7+9+10+10+10+5+9</f>
        <v>77</v>
      </c>
    </row>
    <row r="26" spans="1:4" ht="19.5">
      <c r="A26" s="27" t="s">
        <v>219</v>
      </c>
      <c r="B26" s="87" t="s">
        <v>202</v>
      </c>
      <c r="C26" s="26">
        <v>39743</v>
      </c>
      <c r="D26" s="28">
        <v>84</v>
      </c>
    </row>
    <row r="27" spans="1:4" ht="19.5">
      <c r="A27" s="27" t="s">
        <v>84</v>
      </c>
      <c r="B27" s="87" t="s">
        <v>146</v>
      </c>
      <c r="C27" s="26">
        <v>39767</v>
      </c>
      <c r="D27" s="28">
        <f>10+8+10+10+10+10+8+10+10</f>
        <v>86</v>
      </c>
    </row>
    <row r="28" spans="1:4" ht="19.5">
      <c r="A28" s="158" t="s">
        <v>290</v>
      </c>
      <c r="B28" s="87" t="s">
        <v>48</v>
      </c>
      <c r="C28" s="26">
        <v>39270</v>
      </c>
      <c r="D28" s="28" t="s">
        <v>289</v>
      </c>
    </row>
    <row r="29" spans="1:4" ht="20.25" thickBot="1">
      <c r="A29" s="159" t="s">
        <v>291</v>
      </c>
      <c r="B29" s="106" t="s">
        <v>119</v>
      </c>
      <c r="C29" s="107">
        <v>39638</v>
      </c>
      <c r="D29" s="108" t="s">
        <v>289</v>
      </c>
    </row>
    <row r="30" spans="1:4" ht="19.5">
      <c r="A30" s="70"/>
      <c r="B30" s="144"/>
      <c r="C30" s="72"/>
      <c r="D30" s="73"/>
    </row>
    <row r="31" spans="1:4" ht="19.5" thickBot="1">
      <c r="B31" s="1"/>
      <c r="C31" s="1"/>
      <c r="D31" s="1"/>
    </row>
    <row r="32" spans="1:4" ht="20.25" thickBot="1">
      <c r="A32" s="180" t="s">
        <v>27</v>
      </c>
      <c r="B32" s="181"/>
      <c r="C32" s="181"/>
      <c r="D32" s="182"/>
    </row>
    <row r="33" spans="1:5" ht="20.25" thickBot="1">
      <c r="A33" s="189" t="s">
        <v>29</v>
      </c>
      <c r="B33" s="190"/>
      <c r="C33" s="190"/>
      <c r="D33" s="191"/>
    </row>
    <row r="34" spans="1:5" ht="20.25" thickBot="1">
      <c r="A34" s="160" t="s">
        <v>6</v>
      </c>
      <c r="B34" s="161" t="s">
        <v>9</v>
      </c>
      <c r="C34" s="161" t="s">
        <v>19</v>
      </c>
      <c r="D34" s="160" t="s">
        <v>8</v>
      </c>
    </row>
    <row r="35" spans="1:5" ht="20.25" thickBot="1">
      <c r="A35" s="122" t="s">
        <v>92</v>
      </c>
      <c r="B35" s="163" t="s">
        <v>146</v>
      </c>
      <c r="C35" s="164">
        <v>39451</v>
      </c>
      <c r="D35" s="165">
        <f>9+3+6+6+7+7+5+7+5</f>
        <v>55</v>
      </c>
      <c r="E35" s="63" t="s">
        <v>18</v>
      </c>
    </row>
    <row r="36" spans="1:5" ht="20.25" thickBot="1">
      <c r="A36" s="27" t="s">
        <v>158</v>
      </c>
      <c r="B36" s="162" t="s">
        <v>112</v>
      </c>
      <c r="C36" s="26">
        <v>39142</v>
      </c>
      <c r="D36" s="28">
        <f>7+5+5+7+8+9+6+3+7</f>
        <v>57</v>
      </c>
      <c r="E36" s="63" t="s">
        <v>20</v>
      </c>
    </row>
    <row r="37" spans="1:5" ht="19.5">
      <c r="A37" s="27" t="s">
        <v>225</v>
      </c>
      <c r="B37" s="162" t="s">
        <v>112</v>
      </c>
      <c r="C37" s="26">
        <v>39177</v>
      </c>
      <c r="D37" s="28">
        <f>7+7+6+10+5+5+7+6+4</f>
        <v>57</v>
      </c>
    </row>
    <row r="38" spans="1:5" ht="19.5">
      <c r="A38" s="27" t="s">
        <v>90</v>
      </c>
      <c r="B38" s="162" t="s">
        <v>146</v>
      </c>
      <c r="C38" s="26">
        <v>39591</v>
      </c>
      <c r="D38" s="28">
        <f>8+7+8+5+6+8+6+6+6</f>
        <v>60</v>
      </c>
    </row>
    <row r="39" spans="1:5" ht="19.5">
      <c r="A39" s="27" t="s">
        <v>159</v>
      </c>
      <c r="B39" s="162" t="s">
        <v>112</v>
      </c>
      <c r="C39" s="26">
        <v>39353</v>
      </c>
      <c r="D39" s="28">
        <f>7+8+7+7+5+6+8+10+5</f>
        <v>63</v>
      </c>
    </row>
    <row r="40" spans="1:5" ht="19.5">
      <c r="A40" s="27" t="s">
        <v>91</v>
      </c>
      <c r="B40" s="162" t="s">
        <v>146</v>
      </c>
      <c r="C40" s="26">
        <v>39244</v>
      </c>
      <c r="D40" s="28">
        <f>10+7+9+10+9+10+7+8+10</f>
        <v>80</v>
      </c>
    </row>
    <row r="41" spans="1:5" ht="20.25" thickBot="1">
      <c r="A41" s="159" t="s">
        <v>292</v>
      </c>
      <c r="B41" s="166" t="s">
        <v>40</v>
      </c>
      <c r="C41" s="107">
        <v>39713</v>
      </c>
      <c r="D41" s="108" t="s">
        <v>289</v>
      </c>
    </row>
    <row r="42" spans="1:5">
      <c r="D42" s="1"/>
    </row>
    <row r="43" spans="1:5">
      <c r="D43" s="1"/>
    </row>
    <row r="44" spans="1:5">
      <c r="D44" s="1"/>
    </row>
    <row r="45" spans="1:5">
      <c r="D45" s="1"/>
    </row>
    <row r="46" spans="1:5">
      <c r="D46" s="1"/>
    </row>
    <row r="47" spans="1:5">
      <c r="D47" s="1"/>
    </row>
    <row r="48" spans="1:5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</sheetData>
  <sortState ref="A32:D37">
    <sortCondition ref="D32:D37"/>
  </sortState>
  <mergeCells count="10">
    <mergeCell ref="A33:D33"/>
    <mergeCell ref="A5:D5"/>
    <mergeCell ref="A9:D9"/>
    <mergeCell ref="A1:D1"/>
    <mergeCell ref="A2:D2"/>
    <mergeCell ref="A3:D3"/>
    <mergeCell ref="A4:D4"/>
    <mergeCell ref="A6:D6"/>
    <mergeCell ref="A8:D8"/>
    <mergeCell ref="A32:D3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3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174" t="str">
        <f>JUV!A1</f>
        <v>2° TORNEO VIRTUAL</v>
      </c>
      <c r="B1" s="174"/>
      <c r="C1" s="174"/>
      <c r="D1" s="174"/>
    </row>
    <row r="2" spans="1:12" ht="23.25">
      <c r="A2" s="178" t="str">
        <f>JUV!A2</f>
        <v>CLUBES DE LA FEDERACION</v>
      </c>
      <c r="B2" s="178"/>
      <c r="C2" s="178"/>
      <c r="D2" s="178"/>
    </row>
    <row r="3" spans="1:12" ht="19.5">
      <c r="A3" s="175" t="s">
        <v>7</v>
      </c>
      <c r="B3" s="175"/>
      <c r="C3" s="175"/>
      <c r="D3" s="175"/>
    </row>
    <row r="4" spans="1:12" ht="26.25">
      <c r="A4" s="176" t="s">
        <v>12</v>
      </c>
      <c r="B4" s="176"/>
      <c r="C4" s="176"/>
      <c r="D4" s="176"/>
    </row>
    <row r="5" spans="1:12" ht="19.5">
      <c r="A5" s="177" t="s">
        <v>14</v>
      </c>
      <c r="B5" s="177"/>
      <c r="C5" s="177"/>
      <c r="D5" s="177"/>
    </row>
    <row r="6" spans="1:12" ht="19.5">
      <c r="A6" s="171" t="str">
        <f>JUV!A6</f>
        <v>10  AL 13 DE OCTUBRE DE 2020</v>
      </c>
      <c r="B6" s="171"/>
      <c r="C6" s="171"/>
      <c r="D6" s="171"/>
    </row>
    <row r="7" spans="1:12" ht="20.25" thickBot="1">
      <c r="A7" s="66"/>
      <c r="B7" s="66"/>
      <c r="C7" s="66"/>
      <c r="D7" s="66"/>
    </row>
    <row r="8" spans="1:12" ht="18.95" customHeight="1" thickBot="1">
      <c r="A8" s="189" t="s">
        <v>30</v>
      </c>
      <c r="B8" s="190"/>
      <c r="C8" s="190"/>
      <c r="D8" s="191"/>
    </row>
    <row r="9" spans="1:12" s="3" customFormat="1" ht="18.95" customHeight="1" thickBot="1">
      <c r="A9" s="4" t="s">
        <v>0</v>
      </c>
      <c r="B9" s="5" t="s">
        <v>9</v>
      </c>
      <c r="C9" s="5" t="s">
        <v>19</v>
      </c>
      <c r="D9" s="4" t="s">
        <v>8</v>
      </c>
      <c r="F9" s="21"/>
    </row>
    <row r="10" spans="1:12" ht="18.95" customHeight="1" thickBot="1">
      <c r="A10" s="27" t="s">
        <v>95</v>
      </c>
      <c r="B10" s="87" t="s">
        <v>146</v>
      </c>
      <c r="C10" s="26">
        <v>40175</v>
      </c>
      <c r="D10" s="28">
        <f>6+3+4+4+5+7+3+3+6</f>
        <v>41</v>
      </c>
      <c r="E10" s="20" t="s">
        <v>18</v>
      </c>
      <c r="F10" s="21"/>
      <c r="H10" s="62"/>
      <c r="I10" s="62"/>
      <c r="J10" s="62"/>
      <c r="K10" s="62"/>
      <c r="L10" s="62"/>
    </row>
    <row r="11" spans="1:12" ht="18.95" customHeight="1" thickBot="1">
      <c r="A11" s="27" t="s">
        <v>97</v>
      </c>
      <c r="B11" s="87" t="s">
        <v>146</v>
      </c>
      <c r="C11" s="26">
        <v>40280</v>
      </c>
      <c r="D11" s="28">
        <f>5+5+5+4+7+6+3+9+4</f>
        <v>48</v>
      </c>
      <c r="E11" s="20" t="s">
        <v>20</v>
      </c>
      <c r="F11" s="21"/>
      <c r="H11" s="62"/>
      <c r="I11" s="62"/>
      <c r="J11" s="62"/>
      <c r="K11" s="62"/>
      <c r="L11" s="62"/>
    </row>
    <row r="12" spans="1:12" ht="18.95" customHeight="1">
      <c r="A12" s="27" t="s">
        <v>160</v>
      </c>
      <c r="B12" s="87" t="s">
        <v>48</v>
      </c>
      <c r="C12" s="26">
        <v>40413</v>
      </c>
      <c r="D12" s="28">
        <v>49</v>
      </c>
      <c r="F12" s="21"/>
      <c r="H12" s="62"/>
      <c r="I12" s="62"/>
      <c r="J12" s="62"/>
      <c r="K12" s="62"/>
      <c r="L12" s="62"/>
    </row>
    <row r="13" spans="1:12" ht="18.95" customHeight="1">
      <c r="A13" s="27" t="s">
        <v>161</v>
      </c>
      <c r="B13" s="87" t="s">
        <v>48</v>
      </c>
      <c r="C13" s="26">
        <v>40437</v>
      </c>
      <c r="D13" s="28">
        <v>49</v>
      </c>
      <c r="F13" s="21"/>
      <c r="H13" s="62"/>
      <c r="I13" s="62"/>
      <c r="J13" s="62"/>
      <c r="K13" s="62"/>
      <c r="L13" s="62"/>
    </row>
    <row r="14" spans="1:12" ht="18.95" customHeight="1">
      <c r="A14" s="27" t="s">
        <v>268</v>
      </c>
      <c r="B14" s="87" t="s">
        <v>247</v>
      </c>
      <c r="C14" s="26">
        <v>40451</v>
      </c>
      <c r="D14" s="28">
        <v>50</v>
      </c>
      <c r="F14" s="21"/>
    </row>
    <row r="15" spans="1:12" ht="18.95" customHeight="1">
      <c r="A15" s="27" t="s">
        <v>163</v>
      </c>
      <c r="B15" s="87" t="s">
        <v>112</v>
      </c>
      <c r="C15" s="26">
        <v>39819</v>
      </c>
      <c r="D15" s="28">
        <f>7+5+5+7+6+9+5+5+5</f>
        <v>54</v>
      </c>
      <c r="F15" s="21"/>
    </row>
    <row r="16" spans="1:12" ht="18.95" customHeight="1">
      <c r="A16" s="27" t="s">
        <v>269</v>
      </c>
      <c r="B16" s="87" t="s">
        <v>247</v>
      </c>
      <c r="C16" s="26">
        <v>40304</v>
      </c>
      <c r="D16" s="28">
        <v>54</v>
      </c>
      <c r="F16" s="21"/>
    </row>
    <row r="17" spans="1:6" ht="18.95" customHeight="1">
      <c r="A17" s="27" t="s">
        <v>270</v>
      </c>
      <c r="B17" s="87" t="s">
        <v>247</v>
      </c>
      <c r="C17" s="26">
        <v>40441</v>
      </c>
      <c r="D17" s="28">
        <v>54</v>
      </c>
      <c r="F17" s="21"/>
    </row>
    <row r="18" spans="1:6" ht="18.95" customHeight="1">
      <c r="A18" s="27" t="s">
        <v>61</v>
      </c>
      <c r="B18" s="87" t="s">
        <v>50</v>
      </c>
      <c r="C18" s="26">
        <v>40304</v>
      </c>
      <c r="D18" s="28">
        <f>6+7+10+4+5+8+4+6+6</f>
        <v>56</v>
      </c>
      <c r="F18" s="21"/>
    </row>
    <row r="19" spans="1:6" ht="18.95" customHeight="1">
      <c r="A19" s="27" t="s">
        <v>94</v>
      </c>
      <c r="B19" s="87" t="s">
        <v>146</v>
      </c>
      <c r="C19" s="26">
        <v>39917</v>
      </c>
      <c r="D19" s="28">
        <f>7+3+6+6+10+7+5+6+6</f>
        <v>56</v>
      </c>
      <c r="F19" s="21"/>
    </row>
    <row r="20" spans="1:6" ht="18.95" customHeight="1">
      <c r="A20" s="27" t="s">
        <v>96</v>
      </c>
      <c r="B20" s="87" t="s">
        <v>146</v>
      </c>
      <c r="C20" s="26">
        <v>40192</v>
      </c>
      <c r="D20" s="28">
        <f>7+4+7+5+6+8+5+8+6</f>
        <v>56</v>
      </c>
      <c r="F20" s="21"/>
    </row>
    <row r="21" spans="1:6" ht="19.5" customHeight="1">
      <c r="A21" s="27" t="s">
        <v>131</v>
      </c>
      <c r="B21" s="87" t="s">
        <v>119</v>
      </c>
      <c r="C21" s="26">
        <v>40522</v>
      </c>
      <c r="D21" s="28">
        <f>5+6+6+6+7+6+5+8+7</f>
        <v>56</v>
      </c>
      <c r="F21" s="21"/>
    </row>
    <row r="22" spans="1:6" ht="18.75" customHeight="1">
      <c r="A22" s="27" t="s">
        <v>62</v>
      </c>
      <c r="B22" s="87" t="s">
        <v>50</v>
      </c>
      <c r="C22" s="26">
        <v>40430</v>
      </c>
      <c r="D22" s="28">
        <f>5+6+6+10+7+6+7+4+6</f>
        <v>57</v>
      </c>
      <c r="F22" s="21"/>
    </row>
    <row r="23" spans="1:6" ht="18.75" customHeight="1">
      <c r="A23" s="27" t="s">
        <v>221</v>
      </c>
      <c r="B23" s="87" t="s">
        <v>202</v>
      </c>
      <c r="C23" s="26">
        <v>40383</v>
      </c>
      <c r="D23" s="28">
        <v>60</v>
      </c>
      <c r="F23" s="21"/>
    </row>
    <row r="24" spans="1:6" ht="18.75" customHeight="1">
      <c r="A24" s="27" t="s">
        <v>162</v>
      </c>
      <c r="B24" s="87" t="s">
        <v>48</v>
      </c>
      <c r="C24" s="26">
        <v>39913</v>
      </c>
      <c r="D24" s="28">
        <v>63</v>
      </c>
      <c r="F24" s="21"/>
    </row>
    <row r="25" spans="1:6" ht="18.75" customHeight="1">
      <c r="A25" s="27" t="s">
        <v>93</v>
      </c>
      <c r="B25" s="87" t="s">
        <v>146</v>
      </c>
      <c r="C25" s="26">
        <v>40483</v>
      </c>
      <c r="D25" s="28">
        <f>7+5+7+8+7+10+7+8+4</f>
        <v>63</v>
      </c>
      <c r="F25" s="21"/>
    </row>
    <row r="26" spans="1:6" ht="18.75" customHeight="1">
      <c r="A26" s="27" t="s">
        <v>82</v>
      </c>
      <c r="B26" s="87" t="s">
        <v>146</v>
      </c>
      <c r="C26" s="26">
        <v>39897</v>
      </c>
      <c r="D26" s="28">
        <f>9+5+10+7+9+10+5+10+7</f>
        <v>72</v>
      </c>
      <c r="F26" s="21"/>
    </row>
    <row r="27" spans="1:6" ht="18.75" customHeight="1">
      <c r="A27" s="158" t="s">
        <v>67</v>
      </c>
      <c r="B27" s="87" t="s">
        <v>50</v>
      </c>
      <c r="C27" s="26">
        <v>39948</v>
      </c>
      <c r="D27" s="28" t="s">
        <v>289</v>
      </c>
      <c r="F27" s="21"/>
    </row>
    <row r="28" spans="1:6" ht="18.75" customHeight="1">
      <c r="A28" s="158" t="s">
        <v>293</v>
      </c>
      <c r="B28" s="87" t="s">
        <v>112</v>
      </c>
      <c r="C28" s="26">
        <v>39994</v>
      </c>
      <c r="D28" s="28" t="s">
        <v>289</v>
      </c>
      <c r="F28" s="21"/>
    </row>
    <row r="29" spans="1:6" ht="18.75" customHeight="1">
      <c r="A29" s="158" t="s">
        <v>294</v>
      </c>
      <c r="B29" s="87" t="s">
        <v>48</v>
      </c>
      <c r="C29" s="26">
        <v>40239</v>
      </c>
      <c r="D29" s="28" t="s">
        <v>289</v>
      </c>
      <c r="F29" s="21"/>
    </row>
    <row r="30" spans="1:6" ht="18.75" customHeight="1">
      <c r="A30" s="158" t="s">
        <v>295</v>
      </c>
      <c r="B30" s="87" t="s">
        <v>40</v>
      </c>
      <c r="C30" s="26">
        <v>40252</v>
      </c>
      <c r="D30" s="28" t="s">
        <v>289</v>
      </c>
      <c r="F30" s="21"/>
    </row>
    <row r="31" spans="1:6" ht="18.75" customHeight="1">
      <c r="A31" s="158" t="s">
        <v>296</v>
      </c>
      <c r="B31" s="87" t="s">
        <v>112</v>
      </c>
      <c r="C31" s="26">
        <v>40368</v>
      </c>
      <c r="D31" s="28" t="s">
        <v>289</v>
      </c>
      <c r="F31" s="21"/>
    </row>
    <row r="32" spans="1:6" ht="18.75" customHeight="1">
      <c r="A32" s="158" t="s">
        <v>297</v>
      </c>
      <c r="B32" s="87" t="s">
        <v>50</v>
      </c>
      <c r="C32" s="26">
        <v>40450</v>
      </c>
      <c r="D32" s="28" t="s">
        <v>289</v>
      </c>
      <c r="F32" s="21"/>
    </row>
    <row r="33" spans="1:6" ht="18.75" customHeight="1" thickBot="1">
      <c r="A33" s="159" t="s">
        <v>298</v>
      </c>
      <c r="B33" s="106" t="s">
        <v>50</v>
      </c>
      <c r="C33" s="107">
        <v>40518</v>
      </c>
      <c r="D33" s="108" t="s">
        <v>289</v>
      </c>
      <c r="F33" s="21"/>
    </row>
    <row r="34" spans="1:6" ht="18.95" customHeight="1" thickBot="1">
      <c r="D34" s="1"/>
    </row>
    <row r="35" spans="1:6" ht="18.95" customHeight="1" thickBot="1">
      <c r="A35" s="189" t="s">
        <v>31</v>
      </c>
      <c r="B35" s="190"/>
      <c r="C35" s="190"/>
      <c r="D35" s="191"/>
    </row>
    <row r="36" spans="1:6" s="3" customFormat="1" ht="18.95" customHeight="1" thickBot="1">
      <c r="A36" s="4" t="s">
        <v>6</v>
      </c>
      <c r="B36" s="5" t="s">
        <v>9</v>
      </c>
      <c r="C36" s="5" t="s">
        <v>19</v>
      </c>
      <c r="D36" s="4" t="s">
        <v>8</v>
      </c>
      <c r="F36" s="21"/>
    </row>
    <row r="37" spans="1:6" ht="18.95" customHeight="1" thickBot="1">
      <c r="A37" s="27" t="s">
        <v>132</v>
      </c>
      <c r="B37" s="87" t="s">
        <v>119</v>
      </c>
      <c r="C37" s="26">
        <v>39932</v>
      </c>
      <c r="D37" s="28">
        <f>5+6+5+4+5+5+3+7+4</f>
        <v>44</v>
      </c>
      <c r="E37" s="20" t="s">
        <v>18</v>
      </c>
      <c r="F37" s="21"/>
    </row>
    <row r="38" spans="1:6" ht="18.95" customHeight="1" thickBot="1">
      <c r="A38" s="27" t="s">
        <v>164</v>
      </c>
      <c r="B38" s="87" t="s">
        <v>112</v>
      </c>
      <c r="C38" s="26">
        <v>40439</v>
      </c>
      <c r="D38" s="28">
        <f>6+4+4+8+5+5+5+4+6</f>
        <v>47</v>
      </c>
      <c r="E38" s="20" t="s">
        <v>20</v>
      </c>
      <c r="F38" s="21"/>
    </row>
    <row r="39" spans="1:6" ht="18.95" customHeight="1">
      <c r="A39" s="27" t="s">
        <v>271</v>
      </c>
      <c r="B39" s="87" t="s">
        <v>247</v>
      </c>
      <c r="C39" s="26">
        <v>39930</v>
      </c>
      <c r="D39" s="28">
        <v>49</v>
      </c>
      <c r="F39" s="21"/>
    </row>
    <row r="40" spans="1:6" ht="18.95" customHeight="1">
      <c r="A40" s="27" t="s">
        <v>98</v>
      </c>
      <c r="B40" s="87" t="s">
        <v>146</v>
      </c>
      <c r="C40" s="26">
        <v>40056</v>
      </c>
      <c r="D40" s="28">
        <f>7+4+6+8+7+5+5+5+6</f>
        <v>53</v>
      </c>
    </row>
    <row r="41" spans="1:6" ht="18.95" customHeight="1">
      <c r="A41" s="27" t="s">
        <v>220</v>
      </c>
      <c r="B41" s="87" t="s">
        <v>202</v>
      </c>
      <c r="C41" s="26">
        <v>40267</v>
      </c>
      <c r="D41" s="28">
        <v>55</v>
      </c>
    </row>
    <row r="42" spans="1:6" ht="18.95" customHeight="1">
      <c r="A42" s="27" t="s">
        <v>273</v>
      </c>
      <c r="B42" s="87" t="s">
        <v>247</v>
      </c>
      <c r="C42" s="26">
        <v>39865</v>
      </c>
      <c r="D42" s="28">
        <v>56</v>
      </c>
    </row>
    <row r="43" spans="1:6" ht="18.95" customHeight="1">
      <c r="A43" s="27" t="s">
        <v>99</v>
      </c>
      <c r="B43" s="87" t="s">
        <v>146</v>
      </c>
      <c r="C43" s="26">
        <v>40323</v>
      </c>
      <c r="D43" s="28">
        <f>9+5+8+6+6+9+4+7+6</f>
        <v>60</v>
      </c>
    </row>
    <row r="44" spans="1:6" ht="18.95" customHeight="1">
      <c r="A44" s="27" t="s">
        <v>100</v>
      </c>
      <c r="B44" s="87" t="s">
        <v>146</v>
      </c>
      <c r="C44" s="26">
        <v>40087</v>
      </c>
      <c r="D44" s="28">
        <f>9+6+7+7+8+9+4+7+5</f>
        <v>62</v>
      </c>
    </row>
    <row r="45" spans="1:6" ht="18.95" customHeight="1">
      <c r="A45" s="27" t="s">
        <v>272</v>
      </c>
      <c r="B45" s="87" t="s">
        <v>247</v>
      </c>
      <c r="C45" s="26">
        <v>40059</v>
      </c>
      <c r="D45" s="28">
        <v>71</v>
      </c>
    </row>
    <row r="46" spans="1:6" ht="18.75" customHeight="1">
      <c r="A46" s="27" t="s">
        <v>133</v>
      </c>
      <c r="B46" s="87" t="s">
        <v>119</v>
      </c>
      <c r="C46" s="26">
        <v>39984</v>
      </c>
      <c r="D46" s="28">
        <f>10+10+8+7+9+6+6+10+6</f>
        <v>72</v>
      </c>
      <c r="F46" s="21"/>
    </row>
    <row r="47" spans="1:6" ht="18.75" customHeight="1">
      <c r="A47" s="158" t="s">
        <v>299</v>
      </c>
      <c r="B47" s="87" t="s">
        <v>50</v>
      </c>
      <c r="C47" s="26">
        <v>40213</v>
      </c>
      <c r="D47" s="28" t="s">
        <v>289</v>
      </c>
      <c r="F47" s="21"/>
    </row>
    <row r="48" spans="1:6" ht="18.75" customHeight="1">
      <c r="A48" s="158" t="s">
        <v>300</v>
      </c>
      <c r="B48" s="87" t="s">
        <v>119</v>
      </c>
      <c r="C48" s="26">
        <v>40326</v>
      </c>
      <c r="D48" s="28" t="s">
        <v>289</v>
      </c>
      <c r="F48" s="21"/>
    </row>
    <row r="49" spans="1:6" ht="18.75" customHeight="1" thickBot="1">
      <c r="A49" s="159" t="s">
        <v>71</v>
      </c>
      <c r="B49" s="106" t="s">
        <v>50</v>
      </c>
      <c r="C49" s="107">
        <v>40430</v>
      </c>
      <c r="D49" s="108" t="s">
        <v>289</v>
      </c>
      <c r="F49" s="21"/>
    </row>
    <row r="50" spans="1:6">
      <c r="D50" s="1"/>
    </row>
    <row r="51" spans="1:6">
      <c r="D51" s="1"/>
    </row>
    <row r="52" spans="1:6">
      <c r="D52" s="1"/>
    </row>
    <row r="53" spans="1:6">
      <c r="D53" s="1"/>
    </row>
    <row r="54" spans="1:6">
      <c r="D54" s="1"/>
    </row>
    <row r="55" spans="1:6">
      <c r="D55" s="1"/>
    </row>
    <row r="56" spans="1:6">
      <c r="D56" s="1"/>
    </row>
    <row r="57" spans="1:6">
      <c r="D57" s="1"/>
    </row>
    <row r="58" spans="1:6">
      <c r="D58" s="1"/>
    </row>
    <row r="59" spans="1:6">
      <c r="D59" s="1"/>
    </row>
    <row r="60" spans="1:6">
      <c r="D60" s="1"/>
    </row>
    <row r="61" spans="1:6">
      <c r="D61" s="1"/>
    </row>
    <row r="62" spans="1:6">
      <c r="D62" s="1"/>
    </row>
    <row r="63" spans="1:6">
      <c r="D63" s="1"/>
    </row>
    <row r="64" spans="1:6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</sheetData>
  <sortState ref="A33:D42">
    <sortCondition ref="D33:D42"/>
  </sortState>
  <mergeCells count="8">
    <mergeCell ref="A35:D35"/>
    <mergeCell ref="A6:D6"/>
    <mergeCell ref="A8:D8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89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74" t="str">
        <f>JUV!A1</f>
        <v>2° TORNEO VIRTUAL</v>
      </c>
      <c r="B1" s="174"/>
      <c r="C1" s="174"/>
      <c r="D1" s="174"/>
    </row>
    <row r="2" spans="1:14" ht="23.25">
      <c r="A2" s="178" t="str">
        <f>JUV!A2</f>
        <v>CLUBES DE LA FEDERACION</v>
      </c>
      <c r="B2" s="178"/>
      <c r="C2" s="178"/>
      <c r="D2" s="178"/>
    </row>
    <row r="3" spans="1:14" ht="19.5">
      <c r="A3" s="175" t="s">
        <v>7</v>
      </c>
      <c r="B3" s="175"/>
      <c r="C3" s="175"/>
      <c r="D3" s="175"/>
    </row>
    <row r="4" spans="1:14" ht="26.25">
      <c r="A4" s="176" t="s">
        <v>12</v>
      </c>
      <c r="B4" s="176"/>
      <c r="C4" s="176"/>
      <c r="D4" s="176"/>
    </row>
    <row r="5" spans="1:14" ht="19.5">
      <c r="A5" s="177" t="s">
        <v>14</v>
      </c>
      <c r="B5" s="177"/>
      <c r="C5" s="177"/>
      <c r="D5" s="177"/>
    </row>
    <row r="6" spans="1:14" ht="19.5">
      <c r="A6" s="171" t="str">
        <f>JUV!A6</f>
        <v>10  AL 13 DE OCTUBRE DE 2020</v>
      </c>
      <c r="B6" s="171"/>
      <c r="C6" s="171"/>
      <c r="D6" s="171"/>
    </row>
    <row r="7" spans="1:14" ht="20.25" thickBot="1">
      <c r="A7" s="6"/>
      <c r="B7" s="6"/>
      <c r="C7" s="6"/>
      <c r="D7" s="6"/>
    </row>
    <row r="8" spans="1:14" ht="20.25" thickBot="1">
      <c r="A8" s="189" t="s">
        <v>32</v>
      </c>
      <c r="B8" s="190"/>
      <c r="C8" s="190"/>
      <c r="D8" s="191"/>
    </row>
    <row r="9" spans="1:14" s="3" customFormat="1" ht="20.25" thickBot="1">
      <c r="A9" s="160" t="s">
        <v>0</v>
      </c>
      <c r="B9" s="161" t="s">
        <v>9</v>
      </c>
      <c r="C9" s="161" t="s">
        <v>19</v>
      </c>
      <c r="D9" s="160" t="s">
        <v>8</v>
      </c>
    </row>
    <row r="10" spans="1:14" ht="20.25" thickBot="1">
      <c r="A10" s="122" t="s">
        <v>63</v>
      </c>
      <c r="B10" s="163" t="s">
        <v>50</v>
      </c>
      <c r="C10" s="164">
        <v>40766</v>
      </c>
      <c r="D10" s="165">
        <f>5+6+6+3+5+7+4+5+6</f>
        <v>47</v>
      </c>
      <c r="E10" s="63" t="s">
        <v>18</v>
      </c>
      <c r="F10" s="21"/>
      <c r="G10" s="57"/>
      <c r="H10" s="57"/>
      <c r="I10" s="57"/>
      <c r="J10" s="57"/>
      <c r="K10" s="57"/>
      <c r="L10" s="57"/>
      <c r="M10" s="57"/>
      <c r="N10" s="57"/>
    </row>
    <row r="11" spans="1:14" ht="20.25" thickBot="1">
      <c r="A11" s="27" t="s">
        <v>166</v>
      </c>
      <c r="B11" s="162" t="s">
        <v>112</v>
      </c>
      <c r="C11" s="26">
        <v>41383</v>
      </c>
      <c r="D11" s="28">
        <v>49</v>
      </c>
      <c r="E11" s="63" t="s">
        <v>20</v>
      </c>
      <c r="F11" s="21"/>
      <c r="G11" s="57"/>
      <c r="H11" s="57"/>
      <c r="I11" s="57"/>
      <c r="J11" s="57"/>
      <c r="K11" s="57"/>
      <c r="L11" s="57"/>
      <c r="M11" s="57"/>
      <c r="N11" s="57"/>
    </row>
    <row r="12" spans="1:14" ht="19.5">
      <c r="A12" s="27" t="s">
        <v>103</v>
      </c>
      <c r="B12" s="162" t="s">
        <v>146</v>
      </c>
      <c r="C12" s="26">
        <v>40798</v>
      </c>
      <c r="D12" s="28">
        <f>8+4+5+7+4+7+7+5+6</f>
        <v>53</v>
      </c>
      <c r="F12" s="21"/>
      <c r="G12" s="57"/>
      <c r="H12" s="57"/>
      <c r="M12" s="57"/>
      <c r="N12" s="57"/>
    </row>
    <row r="13" spans="1:14" ht="19.5">
      <c r="A13" s="27" t="s">
        <v>134</v>
      </c>
      <c r="B13" s="162" t="s">
        <v>119</v>
      </c>
      <c r="C13" s="26">
        <v>40722</v>
      </c>
      <c r="D13" s="28">
        <f>6+6+6+4+5+7+5+9+6</f>
        <v>54</v>
      </c>
      <c r="F13" s="21"/>
    </row>
    <row r="14" spans="1:14" ht="19.5">
      <c r="A14" s="27" t="s">
        <v>135</v>
      </c>
      <c r="B14" s="162" t="s">
        <v>119</v>
      </c>
      <c r="C14" s="26">
        <v>41123</v>
      </c>
      <c r="D14" s="28">
        <f>8+6+8+3+7+7+4+6+5</f>
        <v>54</v>
      </c>
      <c r="F14" s="21"/>
    </row>
    <row r="15" spans="1:14" ht="19.5">
      <c r="A15" s="27" t="s">
        <v>64</v>
      </c>
      <c r="B15" s="162" t="s">
        <v>50</v>
      </c>
      <c r="C15" s="26">
        <v>40558</v>
      </c>
      <c r="D15" s="28">
        <f>7+5+7+9+3+4+8+5+7</f>
        <v>55</v>
      </c>
      <c r="F15" s="21"/>
    </row>
    <row r="16" spans="1:14" ht="19.5">
      <c r="A16" s="27" t="s">
        <v>167</v>
      </c>
      <c r="B16" s="162" t="s">
        <v>112</v>
      </c>
      <c r="C16" s="26">
        <v>41227</v>
      </c>
      <c r="D16" s="28">
        <v>55</v>
      </c>
      <c r="F16" s="21"/>
    </row>
    <row r="17" spans="1:6" ht="19.5">
      <c r="A17" s="27" t="s">
        <v>104</v>
      </c>
      <c r="B17" s="162" t="s">
        <v>146</v>
      </c>
      <c r="C17" s="26">
        <v>40970</v>
      </c>
      <c r="D17" s="28">
        <f>7+5+6+8+7+8+4+7+4</f>
        <v>56</v>
      </c>
      <c r="F17" s="21"/>
    </row>
    <row r="18" spans="1:6" ht="19.5">
      <c r="A18" s="27" t="s">
        <v>165</v>
      </c>
      <c r="B18" s="162" t="s">
        <v>48</v>
      </c>
      <c r="C18" s="26">
        <v>40603</v>
      </c>
      <c r="D18" s="28">
        <v>61</v>
      </c>
      <c r="F18" s="21"/>
    </row>
    <row r="19" spans="1:6" ht="19.5">
      <c r="A19" s="27" t="s">
        <v>222</v>
      </c>
      <c r="B19" s="162" t="s">
        <v>202</v>
      </c>
      <c r="C19" s="26">
        <v>40969</v>
      </c>
      <c r="D19" s="28">
        <v>62</v>
      </c>
      <c r="F19" s="21"/>
    </row>
    <row r="20" spans="1:6" ht="19.5">
      <c r="A20" s="27" t="s">
        <v>101</v>
      </c>
      <c r="B20" s="162" t="s">
        <v>146</v>
      </c>
      <c r="C20" s="26">
        <v>41583</v>
      </c>
      <c r="D20" s="28">
        <f>8+6+7+10+7+8+6+8+6</f>
        <v>66</v>
      </c>
      <c r="F20" s="21"/>
    </row>
    <row r="21" spans="1:6" ht="19.5">
      <c r="A21" s="27" t="s">
        <v>102</v>
      </c>
      <c r="B21" s="162" t="s">
        <v>146</v>
      </c>
      <c r="C21" s="26">
        <v>40931</v>
      </c>
      <c r="D21" s="28">
        <f>7+7+9+8+10+9+5+8+6</f>
        <v>69</v>
      </c>
      <c r="F21" s="21"/>
    </row>
    <row r="22" spans="1:6" ht="19.5">
      <c r="A22" s="27" t="s">
        <v>41</v>
      </c>
      <c r="B22" s="162" t="s">
        <v>40</v>
      </c>
      <c r="C22" s="26">
        <v>41277</v>
      </c>
      <c r="D22" s="28">
        <v>74</v>
      </c>
      <c r="F22" s="21"/>
    </row>
    <row r="23" spans="1:6" ht="19.5">
      <c r="A23" s="27" t="s">
        <v>39</v>
      </c>
      <c r="B23" s="162" t="s">
        <v>40</v>
      </c>
      <c r="C23" s="26">
        <v>41139</v>
      </c>
      <c r="D23" s="28">
        <v>77</v>
      </c>
      <c r="F23" s="21"/>
    </row>
    <row r="24" spans="1:6" ht="19.5">
      <c r="A24" s="27" t="s">
        <v>224</v>
      </c>
      <c r="B24" s="162" t="s">
        <v>202</v>
      </c>
      <c r="C24" s="26">
        <v>41429</v>
      </c>
      <c r="D24" s="28">
        <v>79</v>
      </c>
      <c r="F24" s="21"/>
    </row>
    <row r="25" spans="1:6" ht="18.75" customHeight="1">
      <c r="A25" s="158" t="s">
        <v>301</v>
      </c>
      <c r="B25" s="162" t="s">
        <v>112</v>
      </c>
      <c r="C25" s="26">
        <v>40553</v>
      </c>
      <c r="D25" s="28" t="s">
        <v>289</v>
      </c>
      <c r="F25" s="21"/>
    </row>
    <row r="26" spans="1:6" ht="18.75" customHeight="1">
      <c r="A26" s="158" t="s">
        <v>302</v>
      </c>
      <c r="B26" s="162" t="s">
        <v>112</v>
      </c>
      <c r="C26" s="26">
        <v>40553</v>
      </c>
      <c r="D26" s="28" t="s">
        <v>289</v>
      </c>
      <c r="F26" s="21"/>
    </row>
    <row r="27" spans="1:6" ht="18.75" customHeight="1">
      <c r="A27" s="158" t="s">
        <v>303</v>
      </c>
      <c r="B27" s="162" t="s">
        <v>50</v>
      </c>
      <c r="C27" s="26">
        <v>40567</v>
      </c>
      <c r="D27" s="28" t="s">
        <v>289</v>
      </c>
      <c r="F27" s="21"/>
    </row>
    <row r="28" spans="1:6" ht="18.75" customHeight="1">
      <c r="A28" s="158" t="s">
        <v>65</v>
      </c>
      <c r="B28" s="162" t="s">
        <v>50</v>
      </c>
      <c r="C28" s="26">
        <v>40937</v>
      </c>
      <c r="D28" s="28" t="s">
        <v>289</v>
      </c>
      <c r="F28" s="21"/>
    </row>
    <row r="29" spans="1:6" ht="18.75" customHeight="1">
      <c r="A29" s="158" t="s">
        <v>304</v>
      </c>
      <c r="B29" s="162" t="s">
        <v>50</v>
      </c>
      <c r="C29" s="26">
        <v>41137</v>
      </c>
      <c r="D29" s="28" t="s">
        <v>289</v>
      </c>
      <c r="F29" s="21"/>
    </row>
    <row r="30" spans="1:6" ht="18.75" customHeight="1">
      <c r="A30" s="158" t="s">
        <v>66</v>
      </c>
      <c r="B30" s="162" t="s">
        <v>50</v>
      </c>
      <c r="C30" s="26">
        <v>41206</v>
      </c>
      <c r="D30" s="28" t="s">
        <v>289</v>
      </c>
      <c r="F30" s="21"/>
    </row>
    <row r="31" spans="1:6" ht="18.75" customHeight="1" thickBot="1">
      <c r="A31" s="159" t="s">
        <v>305</v>
      </c>
      <c r="B31" s="166" t="s">
        <v>112</v>
      </c>
      <c r="C31" s="107">
        <v>41577</v>
      </c>
      <c r="D31" s="108" t="s">
        <v>289</v>
      </c>
      <c r="F31" s="21"/>
    </row>
    <row r="32" spans="1:6" ht="19.5">
      <c r="A32" s="70"/>
      <c r="B32" s="144"/>
      <c r="C32" s="72"/>
      <c r="D32" s="73"/>
      <c r="F32" s="21"/>
    </row>
    <row r="33" spans="1:6" ht="19.5" thickBot="1">
      <c r="A33" s="54"/>
      <c r="B33" s="55"/>
      <c r="C33" s="56"/>
      <c r="D33" s="1"/>
    </row>
    <row r="34" spans="1:6" ht="20.25" thickBot="1">
      <c r="A34" s="189" t="s">
        <v>33</v>
      </c>
      <c r="B34" s="190"/>
      <c r="C34" s="190"/>
      <c r="D34" s="191"/>
    </row>
    <row r="35" spans="1:6" ht="20.25" thickBot="1">
      <c r="A35" s="4" t="s">
        <v>6</v>
      </c>
      <c r="B35" s="5" t="s">
        <v>9</v>
      </c>
      <c r="C35" s="5" t="s">
        <v>19</v>
      </c>
      <c r="D35" s="4" t="s">
        <v>8</v>
      </c>
      <c r="E35" s="48"/>
    </row>
    <row r="36" spans="1:6" ht="20.25" thickBot="1">
      <c r="A36" s="27" t="s">
        <v>138</v>
      </c>
      <c r="B36" s="87" t="s">
        <v>119</v>
      </c>
      <c r="C36" s="26">
        <v>40616</v>
      </c>
      <c r="D36" s="28">
        <f>5+10+8+4+4+5+5+7+7</f>
        <v>55</v>
      </c>
      <c r="E36" s="63" t="s">
        <v>18</v>
      </c>
    </row>
    <row r="37" spans="1:6" ht="20.25" thickBot="1">
      <c r="A37" s="27" t="s">
        <v>105</v>
      </c>
      <c r="B37" s="87" t="s">
        <v>146</v>
      </c>
      <c r="C37" s="26">
        <v>40984</v>
      </c>
      <c r="D37" s="28">
        <f>6+3+7+7+5+8+6+7+9</f>
        <v>58</v>
      </c>
      <c r="E37" s="63" t="s">
        <v>20</v>
      </c>
    </row>
    <row r="38" spans="1:6" ht="19.5">
      <c r="A38" s="27" t="s">
        <v>223</v>
      </c>
      <c r="B38" s="162" t="s">
        <v>202</v>
      </c>
      <c r="C38" s="26">
        <v>41162</v>
      </c>
      <c r="D38" s="28">
        <v>71</v>
      </c>
    </row>
    <row r="39" spans="1:6" ht="19.5">
      <c r="A39" s="158" t="s">
        <v>72</v>
      </c>
      <c r="B39" s="162" t="s">
        <v>50</v>
      </c>
      <c r="C39" s="26">
        <v>40546</v>
      </c>
      <c r="D39" s="28" t="s">
        <v>289</v>
      </c>
    </row>
    <row r="40" spans="1:6" ht="19.5">
      <c r="A40" s="158" t="s">
        <v>306</v>
      </c>
      <c r="B40" s="162" t="s">
        <v>48</v>
      </c>
      <c r="C40" s="26">
        <v>40917</v>
      </c>
      <c r="D40" s="28" t="s">
        <v>289</v>
      </c>
      <c r="F40" s="21"/>
    </row>
    <row r="41" spans="1:6" ht="18.75" customHeight="1">
      <c r="A41" s="158" t="s">
        <v>184</v>
      </c>
      <c r="B41" s="162" t="s">
        <v>48</v>
      </c>
      <c r="C41" s="26">
        <v>40934</v>
      </c>
      <c r="D41" s="28" t="s">
        <v>289</v>
      </c>
      <c r="F41" s="21"/>
    </row>
    <row r="42" spans="1:6" ht="18.75" customHeight="1">
      <c r="A42" s="158" t="s">
        <v>214</v>
      </c>
      <c r="B42" s="162" t="s">
        <v>202</v>
      </c>
      <c r="C42" s="26">
        <v>41003</v>
      </c>
      <c r="D42" s="28" t="s">
        <v>289</v>
      </c>
      <c r="F42" s="21"/>
    </row>
    <row r="43" spans="1:6" ht="18.75" customHeight="1">
      <c r="A43" s="158" t="s">
        <v>307</v>
      </c>
      <c r="B43" s="162" t="s">
        <v>119</v>
      </c>
      <c r="C43" s="26">
        <v>41055</v>
      </c>
      <c r="D43" s="28" t="s">
        <v>289</v>
      </c>
      <c r="F43" s="21"/>
    </row>
    <row r="44" spans="1:6" ht="18.75" customHeight="1" thickBot="1">
      <c r="A44" s="159" t="s">
        <v>208</v>
      </c>
      <c r="B44" s="166" t="s">
        <v>202</v>
      </c>
      <c r="C44" s="107">
        <v>41461</v>
      </c>
      <c r="D44" s="108" t="s">
        <v>289</v>
      </c>
      <c r="F44" s="21"/>
    </row>
    <row r="45" spans="1:6" ht="18.75" customHeight="1">
      <c r="D45" s="1"/>
      <c r="F45" s="21"/>
    </row>
    <row r="46" spans="1:6" ht="18.75" customHeight="1">
      <c r="D46" s="1"/>
      <c r="F46" s="21"/>
    </row>
    <row r="47" spans="1:6">
      <c r="D47" s="1"/>
    </row>
    <row r="48" spans="1:6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</sheetData>
  <sortState ref="A10:D24">
    <sortCondition ref="D10:D24"/>
  </sortState>
  <mergeCells count="8">
    <mergeCell ref="A34:D34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174" t="str">
        <f>JUV!A1</f>
        <v>2° TORNEO VIRTUAL</v>
      </c>
      <c r="B1" s="174"/>
      <c r="C1" s="174"/>
      <c r="D1" s="174"/>
    </row>
    <row r="2" spans="1:5" ht="23.25">
      <c r="A2" s="178" t="str">
        <f>JUV!A2</f>
        <v>CLUBES DE LA FEDERACION</v>
      </c>
      <c r="B2" s="178"/>
      <c r="C2" s="178"/>
      <c r="D2" s="178"/>
    </row>
    <row r="3" spans="1:5" ht="19.5">
      <c r="A3" s="175" t="s">
        <v>7</v>
      </c>
      <c r="B3" s="175"/>
      <c r="C3" s="175"/>
      <c r="D3" s="175"/>
    </row>
    <row r="4" spans="1:5" ht="26.25">
      <c r="A4" s="176" t="s">
        <v>12</v>
      </c>
      <c r="B4" s="176"/>
      <c r="C4" s="176"/>
      <c r="D4" s="176"/>
    </row>
    <row r="5" spans="1:5" ht="19.5">
      <c r="A5" s="177" t="s">
        <v>14</v>
      </c>
      <c r="B5" s="177"/>
      <c r="C5" s="177"/>
      <c r="D5" s="177"/>
    </row>
    <row r="6" spans="1:5" ht="19.5">
      <c r="A6" s="171" t="str">
        <f>JUV!A6</f>
        <v>10  AL 13 DE OCTUBRE DE 2020</v>
      </c>
      <c r="B6" s="171"/>
      <c r="C6" s="171"/>
      <c r="D6" s="171"/>
    </row>
    <row r="7" spans="1:5" ht="19.5" thickBot="1"/>
    <row r="8" spans="1:5" ht="20.25" thickBot="1">
      <c r="A8" s="189" t="s">
        <v>21</v>
      </c>
      <c r="B8" s="190"/>
      <c r="C8" s="190"/>
      <c r="D8" s="191"/>
    </row>
    <row r="9" spans="1:5" ht="20.25" thickBot="1">
      <c r="A9" s="4" t="s">
        <v>0</v>
      </c>
      <c r="B9" s="5" t="s">
        <v>9</v>
      </c>
      <c r="C9" s="5" t="s">
        <v>19</v>
      </c>
      <c r="D9" s="4" t="s">
        <v>8</v>
      </c>
      <c r="E9" s="3"/>
    </row>
    <row r="10" spans="1:5" ht="20.25" thickBot="1">
      <c r="A10" s="27" t="s">
        <v>170</v>
      </c>
      <c r="B10" s="87" t="s">
        <v>112</v>
      </c>
      <c r="C10" s="26">
        <v>37971</v>
      </c>
      <c r="D10" s="28">
        <f>8+6+5+5+6+6+5+4+6</f>
        <v>51</v>
      </c>
      <c r="E10" s="20" t="s">
        <v>18</v>
      </c>
    </row>
    <row r="11" spans="1:5" ht="20.25" thickBot="1">
      <c r="A11" s="27" t="s">
        <v>168</v>
      </c>
      <c r="B11" s="87" t="s">
        <v>48</v>
      </c>
      <c r="C11" s="26">
        <v>38937</v>
      </c>
      <c r="D11" s="28">
        <v>52</v>
      </c>
      <c r="E11" s="20" t="s">
        <v>20</v>
      </c>
    </row>
    <row r="12" spans="1:5" ht="19.5">
      <c r="A12" s="27" t="s">
        <v>169</v>
      </c>
      <c r="B12" s="87" t="s">
        <v>50</v>
      </c>
      <c r="C12" s="26">
        <v>37841</v>
      </c>
      <c r="D12" s="28">
        <f>5+5+7+9+7+7+5+5+6</f>
        <v>56</v>
      </c>
    </row>
    <row r="13" spans="1:5" ht="19.5">
      <c r="A13" s="27" t="s">
        <v>139</v>
      </c>
      <c r="B13" s="87" t="s">
        <v>119</v>
      </c>
      <c r="C13" s="26">
        <v>38848</v>
      </c>
      <c r="D13" s="28">
        <f>7+10+7+4+5+7+3+6+7</f>
        <v>56</v>
      </c>
    </row>
    <row r="14" spans="1:5" ht="19.5">
      <c r="A14" s="27" t="s">
        <v>171</v>
      </c>
      <c r="B14" s="87" t="s">
        <v>112</v>
      </c>
      <c r="C14" s="26">
        <v>38200</v>
      </c>
      <c r="D14" s="28">
        <f>7+6+6+7+4+5+8+9+5</f>
        <v>57</v>
      </c>
    </row>
    <row r="15" spans="1:5" ht="19.5">
      <c r="A15" s="27" t="s">
        <v>217</v>
      </c>
      <c r="B15" s="87" t="s">
        <v>202</v>
      </c>
      <c r="C15" s="26">
        <v>39023</v>
      </c>
      <c r="D15" s="28">
        <v>59</v>
      </c>
    </row>
    <row r="16" spans="1:5" ht="19.5">
      <c r="A16" s="27" t="s">
        <v>172</v>
      </c>
      <c r="B16" s="87" t="s">
        <v>112</v>
      </c>
      <c r="C16" s="26">
        <v>38896</v>
      </c>
      <c r="D16" s="28">
        <f>10+8+4+7+8+8+9+5+8</f>
        <v>67</v>
      </c>
    </row>
    <row r="17" spans="1:4" ht="19.5">
      <c r="A17" s="27" t="s">
        <v>86</v>
      </c>
      <c r="B17" s="87" t="s">
        <v>146</v>
      </c>
      <c r="C17" s="26">
        <v>39000</v>
      </c>
      <c r="D17" s="28">
        <f>7+5+7+10+9+11+6+8+5</f>
        <v>68</v>
      </c>
    </row>
    <row r="18" spans="1:4" ht="19.5">
      <c r="A18" s="27" t="s">
        <v>140</v>
      </c>
      <c r="B18" s="87" t="s">
        <v>119</v>
      </c>
      <c r="C18" s="26">
        <v>38937</v>
      </c>
      <c r="D18" s="28">
        <f>9+10+9+6+9+10+8+7+8</f>
        <v>76</v>
      </c>
    </row>
    <row r="19" spans="1:4" ht="19.5">
      <c r="A19" s="27" t="s">
        <v>89</v>
      </c>
      <c r="B19" s="87" t="s">
        <v>146</v>
      </c>
      <c r="C19" s="26">
        <v>38370</v>
      </c>
      <c r="D19" s="28">
        <f>8+5+9+10+10+10+5+9+10</f>
        <v>76</v>
      </c>
    </row>
    <row r="20" spans="1:4" ht="20.25" thickBot="1">
      <c r="A20" s="99" t="s">
        <v>141</v>
      </c>
      <c r="B20" s="106" t="s">
        <v>119</v>
      </c>
      <c r="C20" s="107">
        <v>38002</v>
      </c>
      <c r="D20" s="108">
        <f>10+10+10+7+9+10+7+10+10</f>
        <v>83</v>
      </c>
    </row>
  </sheetData>
  <sortState ref="A10:D20">
    <sortCondition ref="D10:D20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96"/>
  <sheetViews>
    <sheetView zoomScale="70" workbookViewId="0">
      <selection sqref="A1:C1"/>
    </sheetView>
  </sheetViews>
  <sheetFormatPr baseColWidth="10" defaultRowHeight="18.75"/>
  <cols>
    <col min="1" max="1" width="60.28515625" style="1" customWidth="1"/>
    <col min="2" max="2" width="13.28515625" style="2" bestFit="1" customWidth="1"/>
    <col min="3" max="3" width="16" style="1" bestFit="1" customWidth="1"/>
    <col min="4" max="4" width="4.5703125" style="1" bestFit="1" customWidth="1"/>
    <col min="5" max="16384" width="11.42578125" style="1"/>
  </cols>
  <sheetData>
    <row r="1" spans="1:4" ht="30.75">
      <c r="A1" s="174" t="str">
        <f>JUV!A1</f>
        <v>2° TORNEO VIRTUAL</v>
      </c>
      <c r="B1" s="174"/>
      <c r="C1" s="174"/>
    </row>
    <row r="2" spans="1:4" ht="23.25">
      <c r="A2" s="178" t="str">
        <f>JUV!A2</f>
        <v>CLUBES DE LA FEDERACION</v>
      </c>
      <c r="B2" s="178"/>
      <c r="C2" s="178"/>
    </row>
    <row r="3" spans="1:4" ht="19.5">
      <c r="A3" s="175" t="s">
        <v>7</v>
      </c>
      <c r="B3" s="175"/>
      <c r="C3" s="175"/>
    </row>
    <row r="4" spans="1:4" ht="26.25">
      <c r="A4" s="176" t="s">
        <v>12</v>
      </c>
      <c r="B4" s="176"/>
      <c r="C4" s="176"/>
    </row>
    <row r="5" spans="1:4" ht="19.5">
      <c r="A5" s="177" t="s">
        <v>17</v>
      </c>
      <c r="B5" s="177"/>
      <c r="C5" s="177"/>
    </row>
    <row r="6" spans="1:4" ht="19.5">
      <c r="A6" s="171" t="str">
        <f>JUV!A6</f>
        <v>10  AL 13 DE OCTUBRE DE 2020</v>
      </c>
      <c r="B6" s="171"/>
      <c r="C6" s="171"/>
    </row>
    <row r="7" spans="1:4" ht="20.25" thickBot="1">
      <c r="A7" s="6"/>
      <c r="B7" s="6"/>
      <c r="C7" s="6"/>
    </row>
    <row r="8" spans="1:4" ht="20.25" thickBot="1">
      <c r="A8" s="183" t="s">
        <v>13</v>
      </c>
      <c r="B8" s="184"/>
      <c r="C8" s="185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3"/>
    </row>
    <row r="10" spans="1:4" ht="20.25" thickBot="1">
      <c r="A10" s="27" t="s">
        <v>173</v>
      </c>
      <c r="B10" s="68" t="s">
        <v>48</v>
      </c>
      <c r="C10" s="28">
        <v>25</v>
      </c>
      <c r="D10" s="20" t="s">
        <v>18</v>
      </c>
    </row>
    <row r="11" spans="1:4" ht="20.25" thickBot="1">
      <c r="A11" s="27" t="s">
        <v>69</v>
      </c>
      <c r="B11" s="68" t="s">
        <v>50</v>
      </c>
      <c r="C11" s="28">
        <f>5+5+6+4+5</f>
        <v>25</v>
      </c>
      <c r="D11" s="20" t="s">
        <v>18</v>
      </c>
    </row>
    <row r="12" spans="1:4" ht="20.25" thickBot="1">
      <c r="A12" s="27" t="s">
        <v>106</v>
      </c>
      <c r="B12" s="68" t="s">
        <v>146</v>
      </c>
      <c r="C12" s="28">
        <f>9+5+6+3+3</f>
        <v>26</v>
      </c>
      <c r="D12" s="20" t="s">
        <v>18</v>
      </c>
    </row>
    <row r="13" spans="1:4" ht="20.25" thickBot="1">
      <c r="A13" s="27" t="s">
        <v>210</v>
      </c>
      <c r="B13" s="68" t="s">
        <v>202</v>
      </c>
      <c r="C13" s="28">
        <v>27</v>
      </c>
      <c r="D13" s="20" t="s">
        <v>18</v>
      </c>
    </row>
    <row r="14" spans="1:4" ht="20.25" thickBot="1">
      <c r="A14" s="27" t="s">
        <v>115</v>
      </c>
      <c r="B14" s="68" t="s">
        <v>112</v>
      </c>
      <c r="C14" s="28">
        <v>28</v>
      </c>
      <c r="D14" s="20" t="s">
        <v>18</v>
      </c>
    </row>
    <row r="15" spans="1:4" ht="20.25" thickBot="1">
      <c r="A15" s="27" t="s">
        <v>174</v>
      </c>
      <c r="B15" s="68" t="s">
        <v>48</v>
      </c>
      <c r="C15" s="28">
        <v>29</v>
      </c>
      <c r="D15" s="20" t="s">
        <v>18</v>
      </c>
    </row>
    <row r="16" spans="1:4" ht="20.25" thickBot="1">
      <c r="A16" s="27" t="s">
        <v>67</v>
      </c>
      <c r="B16" s="68" t="s">
        <v>50</v>
      </c>
      <c r="C16" s="28">
        <f>7+7+5+3+7</f>
        <v>29</v>
      </c>
      <c r="D16" s="20" t="s">
        <v>18</v>
      </c>
    </row>
    <row r="17" spans="1:4" ht="20.25" thickBot="1">
      <c r="A17" s="27" t="s">
        <v>216</v>
      </c>
      <c r="B17" s="68" t="s">
        <v>202</v>
      </c>
      <c r="C17" s="28">
        <v>29</v>
      </c>
      <c r="D17" s="20" t="s">
        <v>18</v>
      </c>
    </row>
    <row r="18" spans="1:4" ht="20.25" thickBot="1">
      <c r="A18" s="27" t="s">
        <v>207</v>
      </c>
      <c r="B18" s="68" t="s">
        <v>202</v>
      </c>
      <c r="C18" s="28">
        <v>30</v>
      </c>
      <c r="D18" s="20" t="s">
        <v>18</v>
      </c>
    </row>
    <row r="19" spans="1:4" ht="20.25" thickBot="1">
      <c r="A19" s="27" t="s">
        <v>211</v>
      </c>
      <c r="B19" s="68" t="s">
        <v>202</v>
      </c>
      <c r="C19" s="28">
        <v>30</v>
      </c>
      <c r="D19" s="20" t="s">
        <v>18</v>
      </c>
    </row>
    <row r="20" spans="1:4" ht="20.25" thickBot="1">
      <c r="A20" s="27" t="s">
        <v>246</v>
      </c>
      <c r="B20" s="68" t="s">
        <v>247</v>
      </c>
      <c r="C20" s="28">
        <v>30</v>
      </c>
      <c r="D20" s="20" t="s">
        <v>18</v>
      </c>
    </row>
    <row r="21" spans="1:4" ht="20.25" thickBot="1">
      <c r="A21" s="27" t="s">
        <v>175</v>
      </c>
      <c r="B21" s="68" t="s">
        <v>48</v>
      </c>
      <c r="C21" s="28">
        <v>31</v>
      </c>
      <c r="D21" s="20" t="s">
        <v>18</v>
      </c>
    </row>
    <row r="22" spans="1:4" ht="20.25" thickBot="1">
      <c r="A22" s="27" t="s">
        <v>248</v>
      </c>
      <c r="B22" s="68" t="s">
        <v>247</v>
      </c>
      <c r="C22" s="28">
        <v>31</v>
      </c>
      <c r="D22" s="20" t="s">
        <v>18</v>
      </c>
    </row>
    <row r="23" spans="1:4" ht="20.25" thickBot="1">
      <c r="A23" s="27" t="s">
        <v>176</v>
      </c>
      <c r="B23" s="68" t="s">
        <v>48</v>
      </c>
      <c r="C23" s="28">
        <v>32</v>
      </c>
      <c r="D23" s="20" t="s">
        <v>18</v>
      </c>
    </row>
    <row r="24" spans="1:4" ht="20.25" thickBot="1">
      <c r="A24" s="27" t="s">
        <v>212</v>
      </c>
      <c r="B24" s="68" t="s">
        <v>202</v>
      </c>
      <c r="C24" s="28">
        <v>32</v>
      </c>
      <c r="D24" s="20" t="s">
        <v>18</v>
      </c>
    </row>
    <row r="25" spans="1:4" ht="20.25" thickBot="1">
      <c r="A25" s="27" t="s">
        <v>114</v>
      </c>
      <c r="B25" s="68" t="s">
        <v>112</v>
      </c>
      <c r="C25" s="28">
        <v>33</v>
      </c>
      <c r="D25" s="20" t="s">
        <v>18</v>
      </c>
    </row>
    <row r="26" spans="1:4" ht="20.25" thickBot="1">
      <c r="A26" s="27" t="s">
        <v>117</v>
      </c>
      <c r="B26" s="68" t="s">
        <v>112</v>
      </c>
      <c r="C26" s="28">
        <v>33</v>
      </c>
      <c r="D26" s="20" t="s">
        <v>18</v>
      </c>
    </row>
    <row r="27" spans="1:4" ht="20.25" thickBot="1">
      <c r="A27" s="27" t="s">
        <v>215</v>
      </c>
      <c r="B27" s="68" t="s">
        <v>202</v>
      </c>
      <c r="C27" s="28">
        <v>33</v>
      </c>
      <c r="D27" s="20" t="s">
        <v>18</v>
      </c>
    </row>
    <row r="28" spans="1:4" ht="20.25" thickBot="1">
      <c r="A28" s="27" t="s">
        <v>249</v>
      </c>
      <c r="B28" s="68" t="s">
        <v>247</v>
      </c>
      <c r="C28" s="28">
        <v>33</v>
      </c>
      <c r="D28" s="20" t="s">
        <v>18</v>
      </c>
    </row>
    <row r="29" spans="1:4" ht="20.25" thickBot="1">
      <c r="A29" s="27" t="s">
        <v>250</v>
      </c>
      <c r="B29" s="68" t="s">
        <v>247</v>
      </c>
      <c r="C29" s="28">
        <v>33</v>
      </c>
      <c r="D29" s="20" t="s">
        <v>18</v>
      </c>
    </row>
    <row r="30" spans="1:4" ht="20.25" thickBot="1">
      <c r="A30" s="27" t="s">
        <v>177</v>
      </c>
      <c r="B30" s="68" t="s">
        <v>48</v>
      </c>
      <c r="C30" s="28">
        <v>34</v>
      </c>
      <c r="D30" s="20" t="s">
        <v>18</v>
      </c>
    </row>
    <row r="31" spans="1:4" ht="20.25" thickBot="1">
      <c r="A31" s="27" t="s">
        <v>65</v>
      </c>
      <c r="B31" s="68" t="s">
        <v>50</v>
      </c>
      <c r="C31" s="28">
        <f>5+6+6+8+9</f>
        <v>34</v>
      </c>
      <c r="D31" s="20" t="s">
        <v>18</v>
      </c>
    </row>
    <row r="32" spans="1:4" ht="20.25" thickBot="1">
      <c r="A32" s="27" t="s">
        <v>107</v>
      </c>
      <c r="B32" s="68" t="s">
        <v>146</v>
      </c>
      <c r="C32" s="28">
        <f>9+7+7+6+5</f>
        <v>34</v>
      </c>
      <c r="D32" s="20" t="s">
        <v>18</v>
      </c>
    </row>
    <row r="33" spans="1:4" ht="20.25" thickBot="1">
      <c r="A33" s="27" t="s">
        <v>144</v>
      </c>
      <c r="B33" s="68" t="s">
        <v>119</v>
      </c>
      <c r="C33" s="28">
        <f>8+8+5+6+7</f>
        <v>34</v>
      </c>
      <c r="D33" s="20" t="s">
        <v>18</v>
      </c>
    </row>
    <row r="34" spans="1:4" ht="20.25" thickBot="1">
      <c r="A34" s="27" t="s">
        <v>214</v>
      </c>
      <c r="B34" s="68" t="s">
        <v>202</v>
      </c>
      <c r="C34" s="28">
        <v>34</v>
      </c>
      <c r="D34" s="20" t="s">
        <v>18</v>
      </c>
    </row>
    <row r="35" spans="1:4" ht="20.25" thickBot="1">
      <c r="A35" s="27" t="s">
        <v>251</v>
      </c>
      <c r="B35" s="68" t="s">
        <v>247</v>
      </c>
      <c r="C35" s="28">
        <v>34</v>
      </c>
      <c r="D35" s="20" t="s">
        <v>18</v>
      </c>
    </row>
    <row r="36" spans="1:4" ht="20.25" thickBot="1">
      <c r="A36" s="27" t="s">
        <v>178</v>
      </c>
      <c r="B36" s="68" t="s">
        <v>48</v>
      </c>
      <c r="C36" s="28">
        <v>35</v>
      </c>
      <c r="D36" s="20" t="s">
        <v>18</v>
      </c>
    </row>
    <row r="37" spans="1:4" ht="20.25" thickBot="1">
      <c r="A37" s="27" t="s">
        <v>179</v>
      </c>
      <c r="B37" s="68" t="s">
        <v>48</v>
      </c>
      <c r="C37" s="28">
        <v>35</v>
      </c>
      <c r="D37" s="20" t="s">
        <v>18</v>
      </c>
    </row>
    <row r="38" spans="1:4" ht="20.25" thickBot="1">
      <c r="A38" s="27" t="s">
        <v>180</v>
      </c>
      <c r="B38" s="68" t="s">
        <v>48</v>
      </c>
      <c r="C38" s="28">
        <v>35</v>
      </c>
      <c r="D38" s="20" t="s">
        <v>18</v>
      </c>
    </row>
    <row r="39" spans="1:4" ht="20.25" thickBot="1">
      <c r="A39" s="27" t="s">
        <v>70</v>
      </c>
      <c r="B39" s="68" t="s">
        <v>50</v>
      </c>
      <c r="C39" s="28">
        <f>8+4+9+7+7</f>
        <v>35</v>
      </c>
      <c r="D39" s="20" t="s">
        <v>18</v>
      </c>
    </row>
    <row r="40" spans="1:4" ht="20.25" thickBot="1">
      <c r="A40" s="27" t="s">
        <v>72</v>
      </c>
      <c r="B40" s="68" t="s">
        <v>50</v>
      </c>
      <c r="C40" s="28">
        <f>7+8+8+5+7</f>
        <v>35</v>
      </c>
      <c r="D40" s="20" t="s">
        <v>18</v>
      </c>
    </row>
    <row r="41" spans="1:4" ht="20.25" thickBot="1">
      <c r="A41" s="27" t="s">
        <v>252</v>
      </c>
      <c r="B41" s="68" t="s">
        <v>247</v>
      </c>
      <c r="C41" s="28">
        <v>35</v>
      </c>
      <c r="D41" s="20" t="s">
        <v>18</v>
      </c>
    </row>
    <row r="42" spans="1:4" ht="20.25" thickBot="1">
      <c r="A42" s="27" t="s">
        <v>213</v>
      </c>
      <c r="B42" s="68" t="s">
        <v>202</v>
      </c>
      <c r="C42" s="28">
        <v>36</v>
      </c>
      <c r="D42" s="20" t="s">
        <v>18</v>
      </c>
    </row>
    <row r="43" spans="1:4" ht="20.25" thickBot="1">
      <c r="A43" s="27" t="s">
        <v>253</v>
      </c>
      <c r="B43" s="68" t="s">
        <v>247</v>
      </c>
      <c r="C43" s="28">
        <v>36</v>
      </c>
      <c r="D43" s="20" t="s">
        <v>18</v>
      </c>
    </row>
    <row r="44" spans="1:4" ht="20.25" thickBot="1">
      <c r="A44" s="27" t="s">
        <v>254</v>
      </c>
      <c r="B44" s="68" t="s">
        <v>247</v>
      </c>
      <c r="C44" s="28">
        <v>36</v>
      </c>
      <c r="D44" s="20" t="s">
        <v>18</v>
      </c>
    </row>
    <row r="45" spans="1:4" ht="20.25" thickBot="1">
      <c r="A45" s="27" t="s">
        <v>181</v>
      </c>
      <c r="B45" s="68" t="s">
        <v>48</v>
      </c>
      <c r="C45" s="28">
        <v>37</v>
      </c>
      <c r="D45" s="20" t="s">
        <v>18</v>
      </c>
    </row>
    <row r="46" spans="1:4" ht="20.25" thickBot="1">
      <c r="A46" s="27" t="s">
        <v>182</v>
      </c>
      <c r="B46" s="68" t="s">
        <v>48</v>
      </c>
      <c r="C46" s="28">
        <v>37</v>
      </c>
      <c r="D46" s="20" t="s">
        <v>18</v>
      </c>
    </row>
    <row r="47" spans="1:4" ht="20.25" thickBot="1">
      <c r="A47" s="27" t="s">
        <v>66</v>
      </c>
      <c r="B47" s="68" t="s">
        <v>50</v>
      </c>
      <c r="C47" s="28">
        <f>6+5+9+7+10</f>
        <v>37</v>
      </c>
      <c r="D47" s="20" t="s">
        <v>18</v>
      </c>
    </row>
    <row r="48" spans="1:4" ht="20.25" thickBot="1">
      <c r="A48" s="27" t="s">
        <v>71</v>
      </c>
      <c r="B48" s="68" t="s">
        <v>50</v>
      </c>
      <c r="C48" s="28">
        <f>5+7+7+8+10</f>
        <v>37</v>
      </c>
      <c r="D48" s="20" t="s">
        <v>18</v>
      </c>
    </row>
    <row r="49" spans="1:4" ht="20.25" thickBot="1">
      <c r="A49" s="27" t="s">
        <v>203</v>
      </c>
      <c r="B49" s="68" t="s">
        <v>202</v>
      </c>
      <c r="C49" s="28">
        <v>37</v>
      </c>
      <c r="D49" s="20" t="s">
        <v>18</v>
      </c>
    </row>
    <row r="50" spans="1:4" ht="20.25" thickBot="1">
      <c r="A50" s="27" t="s">
        <v>183</v>
      </c>
      <c r="B50" s="68" t="s">
        <v>48</v>
      </c>
      <c r="C50" s="28">
        <v>38</v>
      </c>
      <c r="D50" s="20" t="s">
        <v>18</v>
      </c>
    </row>
    <row r="51" spans="1:4" ht="20.25" thickBot="1">
      <c r="A51" s="27" t="s">
        <v>184</v>
      </c>
      <c r="B51" s="68" t="s">
        <v>48</v>
      </c>
      <c r="C51" s="28">
        <v>38</v>
      </c>
      <c r="D51" s="20" t="s">
        <v>18</v>
      </c>
    </row>
    <row r="52" spans="1:4" ht="20.25" thickBot="1">
      <c r="A52" s="27" t="s">
        <v>116</v>
      </c>
      <c r="B52" s="68" t="s">
        <v>112</v>
      </c>
      <c r="C52" s="28">
        <v>38</v>
      </c>
      <c r="D52" s="20" t="s">
        <v>18</v>
      </c>
    </row>
    <row r="53" spans="1:4" ht="20.25" thickBot="1">
      <c r="A53" s="27" t="s">
        <v>185</v>
      </c>
      <c r="B53" s="68" t="s">
        <v>48</v>
      </c>
      <c r="C53" s="28">
        <v>39</v>
      </c>
      <c r="D53" s="20" t="s">
        <v>18</v>
      </c>
    </row>
    <row r="54" spans="1:4" ht="20.25" thickBot="1">
      <c r="A54" s="27" t="s">
        <v>186</v>
      </c>
      <c r="B54" s="68" t="s">
        <v>48</v>
      </c>
      <c r="C54" s="28">
        <v>39</v>
      </c>
      <c r="D54" s="20" t="s">
        <v>18</v>
      </c>
    </row>
    <row r="55" spans="1:4" ht="20.25" thickBot="1">
      <c r="A55" s="27" t="s">
        <v>187</v>
      </c>
      <c r="B55" s="68" t="s">
        <v>48</v>
      </c>
      <c r="C55" s="28">
        <v>39</v>
      </c>
      <c r="D55" s="20" t="s">
        <v>18</v>
      </c>
    </row>
    <row r="56" spans="1:4" ht="20.25" thickBot="1">
      <c r="A56" s="27" t="s">
        <v>188</v>
      </c>
      <c r="B56" s="68" t="s">
        <v>48</v>
      </c>
      <c r="C56" s="28">
        <v>39</v>
      </c>
      <c r="D56" s="20" t="s">
        <v>18</v>
      </c>
    </row>
    <row r="57" spans="1:4" ht="20.25" thickBot="1">
      <c r="A57" s="27" t="s">
        <v>68</v>
      </c>
      <c r="B57" s="68" t="s">
        <v>50</v>
      </c>
      <c r="C57" s="28">
        <f>7+7+10+5+10</f>
        <v>39</v>
      </c>
      <c r="D57" s="20" t="s">
        <v>18</v>
      </c>
    </row>
    <row r="58" spans="1:4" ht="20.25" thickBot="1">
      <c r="A58" s="27" t="s">
        <v>204</v>
      </c>
      <c r="B58" s="68" t="s">
        <v>202</v>
      </c>
      <c r="C58" s="28">
        <v>39</v>
      </c>
      <c r="D58" s="20" t="s">
        <v>18</v>
      </c>
    </row>
    <row r="59" spans="1:4" ht="20.25" thickBot="1">
      <c r="A59" s="27" t="s">
        <v>189</v>
      </c>
      <c r="B59" s="68" t="s">
        <v>48</v>
      </c>
      <c r="C59" s="28">
        <v>40</v>
      </c>
      <c r="D59" s="20" t="s">
        <v>18</v>
      </c>
    </row>
    <row r="60" spans="1:4" ht="20.25" thickBot="1">
      <c r="A60" s="27" t="s">
        <v>205</v>
      </c>
      <c r="B60" s="68" t="s">
        <v>202</v>
      </c>
      <c r="C60" s="28">
        <v>40</v>
      </c>
      <c r="D60" s="20" t="s">
        <v>18</v>
      </c>
    </row>
    <row r="61" spans="1:4" ht="20.25" thickBot="1">
      <c r="A61" s="27" t="s">
        <v>206</v>
      </c>
      <c r="B61" s="68" t="s">
        <v>202</v>
      </c>
      <c r="C61" s="28">
        <v>40</v>
      </c>
      <c r="D61" s="20" t="s">
        <v>18</v>
      </c>
    </row>
    <row r="62" spans="1:4" ht="20.25" thickBot="1">
      <c r="A62" s="27" t="s">
        <v>190</v>
      </c>
      <c r="B62" s="68" t="s">
        <v>48</v>
      </c>
      <c r="C62" s="28">
        <v>41</v>
      </c>
      <c r="D62" s="20" t="s">
        <v>18</v>
      </c>
    </row>
    <row r="63" spans="1:4" ht="20.25" thickBot="1">
      <c r="A63" s="27" t="s">
        <v>108</v>
      </c>
      <c r="B63" s="68" t="s">
        <v>146</v>
      </c>
      <c r="C63" s="28">
        <f>9+7+11+5+9</f>
        <v>41</v>
      </c>
      <c r="D63" s="20" t="s">
        <v>18</v>
      </c>
    </row>
    <row r="64" spans="1:4" ht="20.25" thickBot="1">
      <c r="A64" s="27" t="s">
        <v>143</v>
      </c>
      <c r="B64" s="68" t="s">
        <v>119</v>
      </c>
      <c r="C64" s="28">
        <f>10+9+10+4+8</f>
        <v>41</v>
      </c>
      <c r="D64" s="20" t="s">
        <v>18</v>
      </c>
    </row>
    <row r="65" spans="1:4" ht="20.25" thickBot="1">
      <c r="A65" s="27" t="s">
        <v>191</v>
      </c>
      <c r="B65" s="68" t="s">
        <v>48</v>
      </c>
      <c r="C65" s="28">
        <v>42</v>
      </c>
      <c r="D65" s="20" t="s">
        <v>18</v>
      </c>
    </row>
    <row r="66" spans="1:4" ht="20.25" thickBot="1">
      <c r="A66" s="27" t="s">
        <v>192</v>
      </c>
      <c r="B66" s="68" t="s">
        <v>48</v>
      </c>
      <c r="C66" s="28">
        <v>44</v>
      </c>
      <c r="D66" s="20" t="s">
        <v>18</v>
      </c>
    </row>
    <row r="67" spans="1:4" ht="20.25" thickBot="1">
      <c r="A67" s="27" t="s">
        <v>142</v>
      </c>
      <c r="B67" s="68" t="s">
        <v>119</v>
      </c>
      <c r="C67" s="28">
        <f>10+8+9+10+7</f>
        <v>44</v>
      </c>
      <c r="D67" s="20" t="s">
        <v>18</v>
      </c>
    </row>
    <row r="68" spans="1:4" ht="20.25" thickBot="1">
      <c r="A68" s="27" t="s">
        <v>193</v>
      </c>
      <c r="B68" s="68" t="s">
        <v>48</v>
      </c>
      <c r="C68" s="28">
        <v>45</v>
      </c>
      <c r="D68" s="20" t="s">
        <v>18</v>
      </c>
    </row>
    <row r="69" spans="1:4" ht="20.25" thickBot="1">
      <c r="A69" s="27" t="s">
        <v>136</v>
      </c>
      <c r="B69" s="203" t="s">
        <v>119</v>
      </c>
      <c r="C69" s="28">
        <v>45</v>
      </c>
      <c r="D69" s="20" t="s">
        <v>18</v>
      </c>
    </row>
    <row r="70" spans="1:4" ht="20.25" thickBot="1">
      <c r="A70" s="27" t="s">
        <v>137</v>
      </c>
      <c r="B70" s="87" t="s">
        <v>119</v>
      </c>
      <c r="C70" s="28">
        <f>7+8+10+10+10</f>
        <v>45</v>
      </c>
      <c r="D70" s="20" t="s">
        <v>18</v>
      </c>
    </row>
    <row r="71" spans="1:4" ht="20.25" thickBot="1">
      <c r="A71" s="27" t="s">
        <v>194</v>
      </c>
      <c r="B71" s="202" t="s">
        <v>48</v>
      </c>
      <c r="C71" s="28">
        <v>46</v>
      </c>
      <c r="D71" s="20" t="s">
        <v>18</v>
      </c>
    </row>
    <row r="72" spans="1:4" ht="20.25" thickBot="1">
      <c r="A72" s="27" t="s">
        <v>208</v>
      </c>
      <c r="B72" s="68" t="s">
        <v>202</v>
      </c>
      <c r="C72" s="28">
        <v>47</v>
      </c>
      <c r="D72" s="20" t="s">
        <v>18</v>
      </c>
    </row>
    <row r="73" spans="1:4" ht="20.25" thickBot="1">
      <c r="A73" s="27" t="s">
        <v>209</v>
      </c>
      <c r="B73" s="68" t="s">
        <v>202</v>
      </c>
      <c r="C73" s="28">
        <v>47</v>
      </c>
      <c r="D73" s="20" t="s">
        <v>18</v>
      </c>
    </row>
    <row r="74" spans="1:4" ht="20.25" thickBot="1">
      <c r="A74" s="27" t="s">
        <v>195</v>
      </c>
      <c r="B74" s="68" t="s">
        <v>48</v>
      </c>
      <c r="C74" s="28">
        <v>50</v>
      </c>
      <c r="D74" s="20" t="s">
        <v>18</v>
      </c>
    </row>
    <row r="75" spans="1:4" ht="20.25" thickBot="1">
      <c r="A75" s="27" t="s">
        <v>196</v>
      </c>
      <c r="B75" s="68" t="s">
        <v>200</v>
      </c>
      <c r="C75" s="28">
        <v>59</v>
      </c>
      <c r="D75" s="20" t="s">
        <v>18</v>
      </c>
    </row>
    <row r="76" spans="1:4" ht="20.25" thickBot="1">
      <c r="A76" s="27" t="s">
        <v>197</v>
      </c>
      <c r="B76" s="68" t="s">
        <v>200</v>
      </c>
      <c r="C76" s="28">
        <v>60</v>
      </c>
      <c r="D76" s="20" t="s">
        <v>18</v>
      </c>
    </row>
    <row r="77" spans="1:4" ht="20.25" thickBot="1">
      <c r="A77" s="27" t="s">
        <v>198</v>
      </c>
      <c r="B77" s="68" t="s">
        <v>200</v>
      </c>
      <c r="C77" s="28">
        <v>61</v>
      </c>
      <c r="D77" s="20" t="s">
        <v>18</v>
      </c>
    </row>
    <row r="78" spans="1:4" ht="20.25" thickBot="1">
      <c r="A78" s="27" t="s">
        <v>199</v>
      </c>
      <c r="B78" s="68" t="s">
        <v>200</v>
      </c>
      <c r="C78" s="28">
        <v>62</v>
      </c>
      <c r="D78" s="20" t="s">
        <v>18</v>
      </c>
    </row>
    <row r="79" spans="1:4" ht="19.5">
      <c r="A79" s="158" t="s">
        <v>308</v>
      </c>
      <c r="B79" s="68" t="s">
        <v>146</v>
      </c>
      <c r="C79" s="28" t="s">
        <v>289</v>
      </c>
    </row>
    <row r="80" spans="1:4" ht="19.5">
      <c r="A80" s="158" t="s">
        <v>314</v>
      </c>
      <c r="B80" s="68" t="s">
        <v>48</v>
      </c>
      <c r="C80" s="28" t="s">
        <v>289</v>
      </c>
    </row>
    <row r="81" spans="1:3" ht="19.5">
      <c r="A81" s="158" t="s">
        <v>315</v>
      </c>
      <c r="B81" s="68" t="s">
        <v>48</v>
      </c>
      <c r="C81" s="28" t="s">
        <v>289</v>
      </c>
    </row>
    <row r="82" spans="1:3" ht="19.5">
      <c r="A82" s="158" t="s">
        <v>316</v>
      </c>
      <c r="B82" s="68" t="s">
        <v>200</v>
      </c>
      <c r="C82" s="28" t="s">
        <v>289</v>
      </c>
    </row>
    <row r="83" spans="1:3" ht="19.5">
      <c r="A83" s="158" t="s">
        <v>317</v>
      </c>
      <c r="B83" s="68" t="s">
        <v>200</v>
      </c>
      <c r="C83" s="28" t="s">
        <v>289</v>
      </c>
    </row>
    <row r="84" spans="1:3" ht="19.5">
      <c r="A84" s="158" t="s">
        <v>318</v>
      </c>
      <c r="B84" s="68" t="s">
        <v>200</v>
      </c>
      <c r="C84" s="28" t="s">
        <v>289</v>
      </c>
    </row>
    <row r="85" spans="1:3" ht="19.5">
      <c r="A85" s="158" t="s">
        <v>309</v>
      </c>
      <c r="B85" s="68" t="s">
        <v>119</v>
      </c>
      <c r="C85" s="28" t="s">
        <v>289</v>
      </c>
    </row>
    <row r="86" spans="1:3" ht="19.5">
      <c r="A86" s="158" t="s">
        <v>310</v>
      </c>
      <c r="B86" s="68" t="s">
        <v>146</v>
      </c>
      <c r="C86" s="28" t="s">
        <v>289</v>
      </c>
    </row>
    <row r="87" spans="1:3" ht="19.5">
      <c r="A87" s="158" t="s">
        <v>311</v>
      </c>
      <c r="B87" s="68" t="s">
        <v>119</v>
      </c>
      <c r="C87" s="28" t="s">
        <v>289</v>
      </c>
    </row>
    <row r="88" spans="1:3" ht="19.5">
      <c r="A88" s="158" t="s">
        <v>312</v>
      </c>
      <c r="B88" s="68" t="s">
        <v>119</v>
      </c>
      <c r="C88" s="28" t="s">
        <v>289</v>
      </c>
    </row>
    <row r="89" spans="1:3" ht="20.25" thickBot="1">
      <c r="A89" s="159" t="s">
        <v>313</v>
      </c>
      <c r="B89" s="167" t="s">
        <v>146</v>
      </c>
      <c r="C89" s="108" t="s">
        <v>289</v>
      </c>
    </row>
    <row r="90" spans="1:3">
      <c r="B90" s="1"/>
    </row>
    <row r="91" spans="1:3">
      <c r="B91" s="1"/>
    </row>
    <row r="92" spans="1:3">
      <c r="B92" s="1"/>
    </row>
    <row r="93" spans="1:3">
      <c r="B93" s="1"/>
    </row>
    <row r="94" spans="1:3">
      <c r="B94" s="1"/>
    </row>
    <row r="95" spans="1:3">
      <c r="B95" s="1"/>
    </row>
    <row r="96" spans="1:3">
      <c r="B96" s="1"/>
    </row>
  </sheetData>
  <sortState ref="A10:C78">
    <sortCondition ref="C10:C78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RESUMEN DE JUGADORES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2020-10-14T14:45:18Z</cp:lastPrinted>
  <dcterms:created xsi:type="dcterms:W3CDTF">2000-04-30T13:23:02Z</dcterms:created>
  <dcterms:modified xsi:type="dcterms:W3CDTF">2020-10-14T17:09:21Z</dcterms:modified>
</cp:coreProperties>
</file>